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755" tabRatio="968" activeTab="5"/>
  </bookViews>
  <sheets>
    <sheet name="ESTRUCTURA DE COSTOS - PRECIO" sheetId="55" r:id="rId1"/>
    <sheet name="PRE-OPERATIVO" sheetId="11" r:id="rId2"/>
    <sheet name="CAPEX" sheetId="27" r:id="rId3"/>
    <sheet name="CAPITAL DE TRABAJO" sheetId="18" r:id="rId4"/>
    <sheet name="WACC" sheetId="30" r:id="rId5"/>
    <sheet name="DEUDA" sheetId="14" r:id="rId6"/>
    <sheet name="FLUJOS - ESCENARIO CON DEUDA" sheetId="34" r:id="rId7"/>
    <sheet name="COK" sheetId="31" r:id="rId8"/>
    <sheet name="FLUJOS - ESCENARIO SIN DEUDA" sheetId="1" r:id="rId9"/>
    <sheet name="INGRESOS AFILIACIONES" sheetId="24" r:id="rId10"/>
    <sheet name="OTROS INGRESOS" sheetId="26" r:id="rId11"/>
    <sheet name="COSTO VARIABLE" sheetId="25" r:id="rId12"/>
    <sheet name="COSTO FIJO" sheetId="8" r:id="rId13"/>
    <sheet name="COSTO FIJO MARKETING" sheetId="9" r:id="rId14"/>
    <sheet name="PUNTO DE EQUILIBRIO" sheetId="16" r:id="rId15"/>
    <sheet name="SENSIBILIDAD" sheetId="52" r:id="rId1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55" l="1"/>
  <c r="F21" i="55"/>
  <c r="F22" i="55"/>
  <c r="F23" i="55"/>
  <c r="F24" i="55"/>
  <c r="F25" i="55"/>
  <c r="F26" i="55"/>
  <c r="F27" i="55"/>
  <c r="F28" i="55"/>
  <c r="F19" i="55"/>
  <c r="D28" i="55"/>
  <c r="D20" i="55"/>
  <c r="D21" i="55"/>
  <c r="D22" i="55"/>
  <c r="D23" i="55"/>
  <c r="D24" i="55"/>
  <c r="D25" i="55"/>
  <c r="D26" i="55"/>
  <c r="D27" i="55"/>
  <c r="D19" i="55"/>
  <c r="D5" i="55" l="1"/>
  <c r="G5" i="55" s="1"/>
  <c r="D6" i="55"/>
  <c r="E6" i="55" s="1"/>
  <c r="D7" i="55"/>
  <c r="D8" i="55"/>
  <c r="E8" i="55" s="1"/>
  <c r="D9" i="55"/>
  <c r="D11" i="55"/>
  <c r="E13" i="55"/>
  <c r="E14" i="55" s="1"/>
  <c r="G13" i="55"/>
  <c r="G14" i="55" s="1"/>
  <c r="C19" i="55"/>
  <c r="J19" i="55" s="1"/>
  <c r="E19" i="55"/>
  <c r="C20" i="55"/>
  <c r="J20" i="55" s="1"/>
  <c r="E21" i="55"/>
  <c r="L21" i="55" s="1"/>
  <c r="C21" i="55"/>
  <c r="J21" i="55" s="1"/>
  <c r="C22" i="55"/>
  <c r="J22" i="55" s="1"/>
  <c r="E22" i="55"/>
  <c r="L22" i="55" s="1"/>
  <c r="E23" i="55"/>
  <c r="L23" i="55" s="1"/>
  <c r="J23" i="55"/>
  <c r="E25" i="55"/>
  <c r="L25" i="55" s="1"/>
  <c r="C25" i="55"/>
  <c r="J25" i="55" s="1"/>
  <c r="C26" i="55"/>
  <c r="J26" i="55" s="1"/>
  <c r="E26" i="55"/>
  <c r="L26" i="55" s="1"/>
  <c r="E40" i="55"/>
  <c r="E41" i="55" s="1"/>
  <c r="E38" i="55" s="1"/>
  <c r="C41" i="55"/>
  <c r="C38" i="55" s="1"/>
  <c r="E5" i="55" l="1"/>
  <c r="M26" i="55"/>
  <c r="F13" i="55"/>
  <c r="K23" i="55"/>
  <c r="K26" i="55"/>
  <c r="K25" i="55"/>
  <c r="K20" i="55"/>
  <c r="F5" i="55"/>
  <c r="K21" i="55"/>
  <c r="M25" i="55"/>
  <c r="K22" i="55"/>
  <c r="F8" i="55"/>
  <c r="M22" i="55"/>
  <c r="E11" i="55"/>
  <c r="G11" i="55"/>
  <c r="M23" i="55"/>
  <c r="G9" i="55"/>
  <c r="H9" i="55" s="1"/>
  <c r="E9" i="55"/>
  <c r="F9" i="55" s="1"/>
  <c r="F6" i="55"/>
  <c r="M21" i="55"/>
  <c r="H14" i="55"/>
  <c r="K19" i="55"/>
  <c r="H13" i="55"/>
  <c r="G7" i="55"/>
  <c r="H7" i="55" s="1"/>
  <c r="E7" i="55"/>
  <c r="F7" i="55" s="1"/>
  <c r="C27" i="55"/>
  <c r="J27" i="55" s="1"/>
  <c r="K27" i="55" s="1"/>
  <c r="E27" i="55"/>
  <c r="L27" i="55" s="1"/>
  <c r="M27" i="55" s="1"/>
  <c r="C24" i="55"/>
  <c r="E24" i="55"/>
  <c r="L24" i="55" s="1"/>
  <c r="M24" i="55" s="1"/>
  <c r="H5" i="55"/>
  <c r="B28" i="55"/>
  <c r="E20" i="55"/>
  <c r="L20" i="55" s="1"/>
  <c r="M20" i="55" s="1"/>
  <c r="L19" i="55"/>
  <c r="F14" i="55"/>
  <c r="D10" i="55"/>
  <c r="G8" i="55"/>
  <c r="H8" i="55" s="1"/>
  <c r="G6" i="55"/>
  <c r="H6" i="55" s="1"/>
  <c r="E10" i="55" l="1"/>
  <c r="F10" i="55" s="1"/>
  <c r="E12" i="55"/>
  <c r="F12" i="55" s="1"/>
  <c r="F11" i="55"/>
  <c r="E28" i="55"/>
  <c r="E34" i="55" s="1"/>
  <c r="F34" i="55" s="1"/>
  <c r="G10" i="55"/>
  <c r="M19" i="55"/>
  <c r="L28" i="55"/>
  <c r="M28" i="55" s="1"/>
  <c r="J24" i="55"/>
  <c r="C28" i="55"/>
  <c r="C34" i="55" s="1"/>
  <c r="D34" i="55" s="1"/>
  <c r="H11" i="55"/>
  <c r="G12" i="55"/>
  <c r="H12" i="55" s="1"/>
  <c r="E15" i="55" l="1"/>
  <c r="F15" i="55" s="1"/>
  <c r="H10" i="55"/>
  <c r="G15" i="55"/>
  <c r="C33" i="55"/>
  <c r="K24" i="55"/>
  <c r="J28" i="55"/>
  <c r="K28" i="55" s="1"/>
  <c r="H15" i="55" l="1"/>
  <c r="E33" i="55"/>
  <c r="C35" i="55"/>
  <c r="D33" i="55"/>
  <c r="D35" i="55" l="1"/>
  <c r="C37" i="55"/>
  <c r="D37" i="55" s="1"/>
  <c r="F33" i="55"/>
  <c r="E35" i="55"/>
  <c r="F35" i="55" l="1"/>
  <c r="E37" i="55"/>
  <c r="F37" i="55" s="1"/>
  <c r="E68" i="11" l="1"/>
  <c r="E69" i="11"/>
  <c r="E70" i="11"/>
  <c r="E71" i="11"/>
  <c r="E72" i="11"/>
  <c r="E73" i="11"/>
  <c r="E74" i="11"/>
  <c r="E75" i="11"/>
  <c r="E67" i="11"/>
  <c r="J262" i="8"/>
  <c r="E76" i="11" l="1"/>
  <c r="D89" i="27"/>
  <c r="H89" i="27" l="1"/>
  <c r="U228" i="8"/>
  <c r="H22" i="8" l="1"/>
  <c r="R22" i="8" s="1"/>
  <c r="Y22" i="8" l="1"/>
  <c r="U22" i="8"/>
  <c r="Q22" i="8"/>
  <c r="X22" i="8"/>
  <c r="I22" i="8"/>
  <c r="W22" i="8"/>
  <c r="S22" i="8"/>
  <c r="O22" i="8"/>
  <c r="T22" i="8"/>
  <c r="P22" i="8"/>
  <c r="N22" i="8"/>
  <c r="V22" i="8"/>
  <c r="AB22" i="8" l="1"/>
  <c r="AE22" i="8" s="1"/>
  <c r="L77" i="27"/>
  <c r="L76" i="27"/>
  <c r="L75" i="27"/>
  <c r="L74" i="27"/>
  <c r="L69" i="27"/>
  <c r="AG22" i="8" l="1"/>
  <c r="AJ22" i="8"/>
  <c r="AK22" i="8"/>
  <c r="AD22" i="8"/>
  <c r="AF22" i="8"/>
  <c r="AI22" i="8"/>
  <c r="AH22" i="8"/>
  <c r="AC22" i="8"/>
  <c r="E10" i="11"/>
  <c r="E11" i="11"/>
  <c r="E12" i="11"/>
  <c r="E13" i="11"/>
  <c r="E14" i="11"/>
  <c r="E8" i="11"/>
  <c r="E9" i="11"/>
  <c r="E6" i="11"/>
  <c r="E7" i="11"/>
  <c r="E5" i="11"/>
  <c r="D39" i="11"/>
  <c r="E39" i="11" s="1"/>
  <c r="E40" i="11" s="1"/>
  <c r="E15" i="11" l="1"/>
  <c r="H17" i="9"/>
  <c r="N17" i="9" s="1"/>
  <c r="H20" i="9"/>
  <c r="E43" i="11"/>
  <c r="E42" i="11"/>
  <c r="C55" i="11"/>
  <c r="E45" i="11"/>
  <c r="DM84" i="8"/>
  <c r="DN84" i="8" s="1"/>
  <c r="DA84" i="8"/>
  <c r="DB84" i="8" s="1"/>
  <c r="CO84" i="8"/>
  <c r="CP84" i="8" s="1"/>
  <c r="CC84" i="8"/>
  <c r="CD84" i="8" s="1"/>
  <c r="BQ84" i="8"/>
  <c r="BR84" i="8" s="1"/>
  <c r="BE84" i="8"/>
  <c r="BF84" i="8" s="1"/>
  <c r="AS84" i="8"/>
  <c r="AT84" i="8" s="1"/>
  <c r="AG84" i="8"/>
  <c r="AH84" i="8" s="1"/>
  <c r="U84" i="8"/>
  <c r="V84" i="8" s="1"/>
  <c r="F84" i="8"/>
  <c r="C11" i="14"/>
  <c r="L20" i="9" l="1"/>
  <c r="DO133" i="8"/>
  <c r="DS133" i="8"/>
  <c r="S133" i="8"/>
  <c r="W133" i="8"/>
  <c r="AA133" i="8"/>
  <c r="AE133" i="8"/>
  <c r="AI133" i="8"/>
  <c r="AM133" i="8"/>
  <c r="AQ133" i="8"/>
  <c r="AU133" i="8"/>
  <c r="AY133" i="8"/>
  <c r="BC133" i="8"/>
  <c r="BG133" i="8"/>
  <c r="BK133" i="8"/>
  <c r="BO133" i="8"/>
  <c r="BS133" i="8"/>
  <c r="BW133" i="8"/>
  <c r="CA133" i="8"/>
  <c r="CE133" i="8"/>
  <c r="CI133" i="8"/>
  <c r="CM133" i="8"/>
  <c r="CQ133" i="8"/>
  <c r="CU133" i="8"/>
  <c r="CY133" i="8"/>
  <c r="DC133" i="8"/>
  <c r="DG133" i="8"/>
  <c r="M133" i="8"/>
  <c r="I133" i="8"/>
  <c r="G84" i="8"/>
  <c r="P133" i="8"/>
  <c r="L133" i="8"/>
  <c r="H133" i="8"/>
  <c r="DK133" i="8"/>
  <c r="DF133" i="8"/>
  <c r="DA133" i="8"/>
  <c r="CV133" i="8"/>
  <c r="CP133" i="8"/>
  <c r="CK133" i="8"/>
  <c r="CF133" i="8"/>
  <c r="BZ133" i="8"/>
  <c r="BU133" i="8"/>
  <c r="BP133" i="8"/>
  <c r="BJ133" i="8"/>
  <c r="BE133" i="8"/>
  <c r="AZ133" i="8"/>
  <c r="AT133" i="8"/>
  <c r="AO133" i="8"/>
  <c r="AJ133" i="8"/>
  <c r="AD133" i="8"/>
  <c r="Y133" i="8"/>
  <c r="T133" i="8"/>
  <c r="DR133" i="8"/>
  <c r="DM133" i="8"/>
  <c r="O133" i="8"/>
  <c r="K133" i="8"/>
  <c r="G133" i="8"/>
  <c r="DJ133" i="8"/>
  <c r="DE133" i="8"/>
  <c r="CZ133" i="8"/>
  <c r="CT133" i="8"/>
  <c r="CO133" i="8"/>
  <c r="CJ133" i="8"/>
  <c r="CD133" i="8"/>
  <c r="BY133" i="8"/>
  <c r="BT133" i="8"/>
  <c r="BN133" i="8"/>
  <c r="BI133" i="8"/>
  <c r="BD133" i="8"/>
  <c r="AX133" i="8"/>
  <c r="AS133" i="8"/>
  <c r="AN133" i="8"/>
  <c r="AH133" i="8"/>
  <c r="AC133" i="8"/>
  <c r="X133" i="8"/>
  <c r="R133" i="8"/>
  <c r="DQ133" i="8"/>
  <c r="N133" i="8"/>
  <c r="J133" i="8"/>
  <c r="F133" i="8"/>
  <c r="DI133" i="8"/>
  <c r="DD133" i="8"/>
  <c r="CX133" i="8"/>
  <c r="CS133" i="8"/>
  <c r="CN133" i="8"/>
  <c r="CH133" i="8"/>
  <c r="CC133" i="8"/>
  <c r="BX133" i="8"/>
  <c r="BR133" i="8"/>
  <c r="BM133" i="8"/>
  <c r="BH133" i="8"/>
  <c r="BB133" i="8"/>
  <c r="AW133" i="8"/>
  <c r="AR133" i="8"/>
  <c r="AL133" i="8"/>
  <c r="AG133" i="8"/>
  <c r="AB133" i="8"/>
  <c r="V133" i="8"/>
  <c r="Q133" i="8"/>
  <c r="DP133" i="8"/>
  <c r="E133" i="8"/>
  <c r="DL133" i="8"/>
  <c r="DH133" i="8"/>
  <c r="DB133" i="8"/>
  <c r="CW133" i="8"/>
  <c r="CR133" i="8"/>
  <c r="CL133" i="8"/>
  <c r="CG133" i="8"/>
  <c r="CB133" i="8"/>
  <c r="BV133" i="8"/>
  <c r="BQ133" i="8"/>
  <c r="BL133" i="8"/>
  <c r="BF133" i="8"/>
  <c r="BA133" i="8"/>
  <c r="AV133" i="8"/>
  <c r="AP133" i="8"/>
  <c r="AK133" i="8"/>
  <c r="AF133" i="8"/>
  <c r="Z133" i="8"/>
  <c r="U133" i="8"/>
  <c r="DT133" i="8"/>
  <c r="DN133" i="8"/>
  <c r="J23" i="9" l="1"/>
  <c r="K23" i="9"/>
  <c r="K25" i="9" s="1"/>
  <c r="L23" i="9"/>
  <c r="M23" i="9"/>
  <c r="M25" i="9" s="1"/>
  <c r="N23" i="9"/>
  <c r="O23" i="9"/>
  <c r="O25" i="9" s="1"/>
  <c r="P23" i="9"/>
  <c r="P25" i="9" s="1"/>
  <c r="Q23" i="9"/>
  <c r="Q25" i="9" s="1"/>
  <c r="R23" i="9"/>
  <c r="R25" i="9" s="1"/>
  <c r="S23" i="9"/>
  <c r="S25" i="9" s="1"/>
  <c r="T23" i="9"/>
  <c r="T25" i="9" s="1"/>
  <c r="U23" i="9"/>
  <c r="U25" i="9" s="1"/>
  <c r="H23" i="9"/>
  <c r="H22" i="9"/>
  <c r="J22" i="9" s="1"/>
  <c r="F202" i="8"/>
  <c r="J25" i="9" l="1"/>
  <c r="E20" i="11" l="1"/>
  <c r="E26" i="11"/>
  <c r="E27" i="11"/>
  <c r="E28" i="11"/>
  <c r="E29" i="11"/>
  <c r="E30" i="11"/>
  <c r="E31" i="11"/>
  <c r="E32" i="11"/>
  <c r="E25" i="11"/>
  <c r="E24" i="11"/>
  <c r="E23" i="11"/>
  <c r="E22" i="11" l="1"/>
  <c r="E21" i="11" s="1"/>
  <c r="G202" i="8" l="1"/>
  <c r="L235" i="8" l="1"/>
  <c r="M235" i="8"/>
  <c r="N235" i="8"/>
  <c r="O235" i="8"/>
  <c r="P235" i="8"/>
  <c r="Q235" i="8"/>
  <c r="R235" i="8"/>
  <c r="S235" i="8"/>
  <c r="K235" i="8"/>
  <c r="G221" i="8"/>
  <c r="N221" i="8" s="1"/>
  <c r="G220" i="8"/>
  <c r="M220" i="8" s="1"/>
  <c r="F219" i="8"/>
  <c r="G219" i="8" s="1"/>
  <c r="L219" i="8" s="1"/>
  <c r="F218" i="8"/>
  <c r="E218" i="8"/>
  <c r="G217" i="8"/>
  <c r="M217" i="8" s="1"/>
  <c r="G216" i="8"/>
  <c r="S216" i="8" s="1"/>
  <c r="G215" i="8"/>
  <c r="R215" i="8" s="1"/>
  <c r="F9" i="30"/>
  <c r="C7" i="30"/>
  <c r="C76" i="34" s="1"/>
  <c r="F9" i="31"/>
  <c r="G51" i="24"/>
  <c r="G53" i="24"/>
  <c r="S217" i="8" l="1"/>
  <c r="G218" i="8"/>
  <c r="O218" i="8" s="1"/>
  <c r="L217" i="8"/>
  <c r="K217" i="8"/>
  <c r="S219" i="8"/>
  <c r="R219" i="8"/>
  <c r="M221" i="8"/>
  <c r="O216" i="8"/>
  <c r="L216" i="8"/>
  <c r="R216" i="8"/>
  <c r="P217" i="8"/>
  <c r="R218" i="8"/>
  <c r="O219" i="8"/>
  <c r="P216" i="8"/>
  <c r="Q221" i="8"/>
  <c r="J216" i="8"/>
  <c r="N216" i="8"/>
  <c r="O217" i="8"/>
  <c r="N218" i="8"/>
  <c r="N219" i="8"/>
  <c r="K220" i="8"/>
  <c r="L220" i="8"/>
  <c r="O215" i="8"/>
  <c r="S215" i="8"/>
  <c r="S220" i="8"/>
  <c r="O220" i="8"/>
  <c r="K221" i="8"/>
  <c r="P221" i="8"/>
  <c r="L221" i="8"/>
  <c r="K216" i="8"/>
  <c r="M216" i="8"/>
  <c r="P215" i="8"/>
  <c r="Q216" i="8"/>
  <c r="R217" i="8"/>
  <c r="N217" i="8"/>
  <c r="P218" i="8"/>
  <c r="Q219" i="8"/>
  <c r="M219" i="8"/>
  <c r="R220" i="8"/>
  <c r="N220" i="8"/>
  <c r="S221" i="8"/>
  <c r="O221" i="8"/>
  <c r="P220" i="8"/>
  <c r="K215" i="8"/>
  <c r="M215" i="8"/>
  <c r="Q215" i="8"/>
  <c r="J215" i="8"/>
  <c r="L215" i="8"/>
  <c r="N215" i="8"/>
  <c r="Q217" i="8"/>
  <c r="S218" i="8"/>
  <c r="K219" i="8"/>
  <c r="P219" i="8"/>
  <c r="Q220" i="8"/>
  <c r="R221" i="8"/>
  <c r="L218" i="8" l="1"/>
  <c r="K218" i="8"/>
  <c r="M218" i="8"/>
  <c r="M222" i="8" s="1"/>
  <c r="M269" i="8" s="1"/>
  <c r="Q218" i="8"/>
  <c r="Q222" i="8" s="1"/>
  <c r="Q269" i="8" s="1"/>
  <c r="J222" i="8"/>
  <c r="J269" i="8" s="1"/>
  <c r="O222" i="8"/>
  <c r="O269" i="8" s="1"/>
  <c r="N222" i="8"/>
  <c r="N269" i="8" s="1"/>
  <c r="R222" i="8"/>
  <c r="R269" i="8" s="1"/>
  <c r="P222" i="8"/>
  <c r="P269" i="8" s="1"/>
  <c r="L222" i="8"/>
  <c r="L269" i="8" s="1"/>
  <c r="K222" i="8"/>
  <c r="K269" i="8" s="1"/>
  <c r="S222" i="8"/>
  <c r="S269" i="8" s="1"/>
  <c r="M29" i="1" l="1"/>
  <c r="M29" i="34"/>
  <c r="I29" i="1"/>
  <c r="I29" i="34"/>
  <c r="H29" i="1"/>
  <c r="H29" i="34"/>
  <c r="D29" i="1"/>
  <c r="D29" i="34"/>
  <c r="K29" i="1"/>
  <c r="K29" i="34"/>
  <c r="G29" i="1"/>
  <c r="G29" i="34"/>
  <c r="E29" i="1"/>
  <c r="E29" i="34"/>
  <c r="J29" i="1"/>
  <c r="J29" i="34"/>
  <c r="F29" i="1"/>
  <c r="F29" i="34"/>
  <c r="L29" i="1"/>
  <c r="L29" i="34"/>
  <c r="F195" i="8"/>
  <c r="S263" i="8"/>
  <c r="S273" i="8" s="1"/>
  <c r="R263" i="8"/>
  <c r="R273" i="8" s="1"/>
  <c r="O263" i="8"/>
  <c r="O273" i="8" s="1"/>
  <c r="J263" i="8"/>
  <c r="J273" i="8" s="1"/>
  <c r="O257" i="8"/>
  <c r="R257" i="8"/>
  <c r="S257" i="8"/>
  <c r="J257" i="8"/>
  <c r="E59" i="11"/>
  <c r="E60" i="11"/>
  <c r="E63" i="11"/>
  <c r="E64" i="11"/>
  <c r="Q262" i="8"/>
  <c r="Q263" i="8" s="1"/>
  <c r="Q273" i="8" s="1"/>
  <c r="P262" i="8"/>
  <c r="P263" i="8" s="1"/>
  <c r="P273" i="8" s="1"/>
  <c r="P256" i="8"/>
  <c r="Q256" i="8"/>
  <c r="Q255" i="8"/>
  <c r="P255" i="8"/>
  <c r="M255" i="8"/>
  <c r="K255" i="8"/>
  <c r="N262" i="8"/>
  <c r="N263" i="8" s="1"/>
  <c r="N273" i="8" s="1"/>
  <c r="N256" i="8"/>
  <c r="N255" i="8"/>
  <c r="L262" i="8"/>
  <c r="L263" i="8" s="1"/>
  <c r="L273" i="8" s="1"/>
  <c r="M262" i="8"/>
  <c r="M263" i="8" s="1"/>
  <c r="M273" i="8" s="1"/>
  <c r="K262" i="8"/>
  <c r="K263" i="8" s="1"/>
  <c r="K273" i="8" s="1"/>
  <c r="M256" i="8"/>
  <c r="M257" i="8" s="1"/>
  <c r="L256" i="8"/>
  <c r="L255" i="8"/>
  <c r="K256" i="8"/>
  <c r="E58" i="11"/>
  <c r="E57" i="11"/>
  <c r="M272" i="8" l="1"/>
  <c r="S272" i="8"/>
  <c r="O272" i="8"/>
  <c r="R272" i="8"/>
  <c r="J272" i="8"/>
  <c r="E61" i="11"/>
  <c r="P257" i="8"/>
  <c r="L257" i="8"/>
  <c r="Q257" i="8"/>
  <c r="K257" i="8"/>
  <c r="N257" i="8"/>
  <c r="E65" i="11"/>
  <c r="I30" i="1" l="1"/>
  <c r="I30" i="34"/>
  <c r="D30" i="1"/>
  <c r="D30" i="34"/>
  <c r="M30" i="1"/>
  <c r="M30" i="34"/>
  <c r="L30" i="1"/>
  <c r="L30" i="34"/>
  <c r="G30" i="1"/>
  <c r="G30" i="34"/>
  <c r="Q272" i="8"/>
  <c r="N272" i="8"/>
  <c r="L272" i="8"/>
  <c r="K272" i="8"/>
  <c r="P272" i="8"/>
  <c r="DJ94" i="8"/>
  <c r="CX94" i="8"/>
  <c r="CL94" i="8"/>
  <c r="BZ94" i="8"/>
  <c r="BN94" i="8"/>
  <c r="BB94" i="8"/>
  <c r="AP94" i="8"/>
  <c r="AD94" i="8"/>
  <c r="R94" i="8"/>
  <c r="C94" i="8"/>
  <c r="C43" i="27"/>
  <c r="D43" i="27" s="1"/>
  <c r="H43" i="27" s="1"/>
  <c r="H30" i="1" l="1"/>
  <c r="H30" i="34"/>
  <c r="J30" i="1"/>
  <c r="J30" i="34"/>
  <c r="K30" i="1"/>
  <c r="K30" i="34"/>
  <c r="E30" i="1"/>
  <c r="E30" i="34"/>
  <c r="F30" i="1"/>
  <c r="F30" i="34"/>
  <c r="C7" i="31"/>
  <c r="C3" i="31"/>
  <c r="C11" i="31" l="1"/>
  <c r="C57" i="1"/>
  <c r="C11" i="30"/>
  <c r="C3" i="30"/>
  <c r="C57" i="34" s="1"/>
  <c r="K157" i="27" l="1"/>
  <c r="H157" i="27"/>
  <c r="D157" i="27"/>
  <c r="C157" i="27"/>
  <c r="J157" i="27"/>
  <c r="I157" i="27"/>
  <c r="F157" i="27"/>
  <c r="E157" i="27"/>
  <c r="C147" i="27"/>
  <c r="D147" i="27" s="1"/>
  <c r="E147" i="27" s="1"/>
  <c r="F147" i="27" s="1"/>
  <c r="G147" i="27" s="1"/>
  <c r="H147" i="27" s="1"/>
  <c r="I147" i="27" s="1"/>
  <c r="J147" i="27" s="1"/>
  <c r="K147" i="27" s="1"/>
  <c r="L147" i="27" s="1"/>
  <c r="F110" i="27"/>
  <c r="J110" i="27"/>
  <c r="D110" i="27"/>
  <c r="H110" i="27"/>
  <c r="L110" i="27"/>
  <c r="K110" i="27"/>
  <c r="I110" i="27"/>
  <c r="E110" i="27"/>
  <c r="C110" i="27"/>
  <c r="C100" i="27"/>
  <c r="D100" i="27" s="1"/>
  <c r="E100" i="27" s="1"/>
  <c r="F100" i="27" s="1"/>
  <c r="G100" i="27" s="1"/>
  <c r="H100" i="27" s="1"/>
  <c r="I100" i="27" s="1"/>
  <c r="J100" i="27" s="1"/>
  <c r="K100" i="27" s="1"/>
  <c r="L100" i="27" s="1"/>
  <c r="C132" i="27"/>
  <c r="D132" i="27" s="1"/>
  <c r="E132" i="27" s="1"/>
  <c r="F132" i="27" s="1"/>
  <c r="G132" i="27" s="1"/>
  <c r="H132" i="27" s="1"/>
  <c r="I132" i="27" s="1"/>
  <c r="J132" i="27" s="1"/>
  <c r="K132" i="27" s="1"/>
  <c r="L132" i="27" s="1"/>
  <c r="C115" i="27"/>
  <c r="D115" i="27" s="1"/>
  <c r="E115" i="27" s="1"/>
  <c r="F115" i="27" s="1"/>
  <c r="G115" i="27" s="1"/>
  <c r="H115" i="27" s="1"/>
  <c r="I115" i="27" s="1"/>
  <c r="J115" i="27" s="1"/>
  <c r="K115" i="27" s="1"/>
  <c r="L115" i="27" s="1"/>
  <c r="M69" i="27"/>
  <c r="M72" i="27" s="1"/>
  <c r="H69" i="27"/>
  <c r="H72" i="27" s="1"/>
  <c r="F121" i="27" s="1"/>
  <c r="D72" i="27"/>
  <c r="G106" i="27" s="1"/>
  <c r="K121" i="27" l="1"/>
  <c r="G121" i="27"/>
  <c r="G138" i="27"/>
  <c r="K138" i="27"/>
  <c r="C138" i="27"/>
  <c r="D138" i="27"/>
  <c r="H138" i="27"/>
  <c r="L138" i="27"/>
  <c r="E138" i="27"/>
  <c r="I138" i="27"/>
  <c r="F138" i="27"/>
  <c r="J138" i="27"/>
  <c r="C121" i="27"/>
  <c r="E121" i="27"/>
  <c r="B106" i="27"/>
  <c r="I121" i="27"/>
  <c r="L121" i="27"/>
  <c r="H121" i="27"/>
  <c r="D121" i="27"/>
  <c r="J121" i="27"/>
  <c r="C93" i="27"/>
  <c r="D93" i="27" s="1"/>
  <c r="H93" i="27" s="1"/>
  <c r="D92" i="27"/>
  <c r="H92" i="27" s="1"/>
  <c r="D88" i="27"/>
  <c r="H88" i="27" s="1"/>
  <c r="D87" i="27"/>
  <c r="D86" i="27"/>
  <c r="D83" i="27"/>
  <c r="H83" i="27" s="1"/>
  <c r="D82" i="27"/>
  <c r="H82" i="27" s="1"/>
  <c r="D81" i="27"/>
  <c r="H81" i="27" s="1"/>
  <c r="D80" i="27"/>
  <c r="H80" i="27" s="1"/>
  <c r="D79" i="27"/>
  <c r="H79" i="27" s="1"/>
  <c r="D78" i="27"/>
  <c r="H78" i="27" s="1"/>
  <c r="M77" i="27"/>
  <c r="D77" i="27"/>
  <c r="M76" i="27"/>
  <c r="D76" i="27"/>
  <c r="M75" i="27"/>
  <c r="D75" i="27"/>
  <c r="M74" i="27"/>
  <c r="D74" i="27"/>
  <c r="H74" i="27" s="1"/>
  <c r="D66" i="27"/>
  <c r="D65" i="27"/>
  <c r="H65" i="27" s="1"/>
  <c r="D64" i="27"/>
  <c r="H64" i="27" s="1"/>
  <c r="D63" i="27"/>
  <c r="H63" i="27" s="1"/>
  <c r="D62" i="27"/>
  <c r="H62" i="27" s="1"/>
  <c r="D61" i="27"/>
  <c r="H61" i="27" s="1"/>
  <c r="D60" i="27"/>
  <c r="H60" i="27" s="1"/>
  <c r="D59" i="27"/>
  <c r="L59" i="27" s="1"/>
  <c r="D58" i="27"/>
  <c r="H58" i="27" s="1"/>
  <c r="D57" i="27"/>
  <c r="H57" i="27" s="1"/>
  <c r="D56" i="27"/>
  <c r="H56" i="27" s="1"/>
  <c r="D55" i="27"/>
  <c r="H55" i="27" s="1"/>
  <c r="D54" i="27"/>
  <c r="H54" i="27" s="1"/>
  <c r="D53" i="27"/>
  <c r="D50" i="27"/>
  <c r="H50" i="27" s="1"/>
  <c r="D49" i="27"/>
  <c r="H49" i="27" s="1"/>
  <c r="D48" i="27"/>
  <c r="H48" i="27" s="1"/>
  <c r="D47" i="27"/>
  <c r="H47" i="27" s="1"/>
  <c r="D46" i="27"/>
  <c r="H46" i="27" s="1"/>
  <c r="D45" i="27"/>
  <c r="H45" i="27" s="1"/>
  <c r="D44" i="27"/>
  <c r="H44" i="27" s="1"/>
  <c r="D42" i="27"/>
  <c r="H42" i="27" s="1"/>
  <c r="D39" i="27"/>
  <c r="H39" i="27" s="1"/>
  <c r="D38" i="27"/>
  <c r="H38" i="27" s="1"/>
  <c r="D37" i="27"/>
  <c r="H37" i="27" s="1"/>
  <c r="D36" i="27"/>
  <c r="D35" i="27"/>
  <c r="D34" i="27"/>
  <c r="H34" i="27" s="1"/>
  <c r="D33" i="27"/>
  <c r="H33" i="27" s="1"/>
  <c r="D32" i="27"/>
  <c r="H32" i="27" s="1"/>
  <c r="D31" i="27"/>
  <c r="H31" i="27" s="1"/>
  <c r="D30" i="27"/>
  <c r="D27" i="27"/>
  <c r="H27" i="27" s="1"/>
  <c r="D26" i="27"/>
  <c r="H26" i="27" s="1"/>
  <c r="D25" i="27"/>
  <c r="H25" i="27" s="1"/>
  <c r="D24" i="27"/>
  <c r="H24" i="27" s="1"/>
  <c r="D23" i="27"/>
  <c r="H23" i="27" s="1"/>
  <c r="D22" i="27"/>
  <c r="H22" i="27" s="1"/>
  <c r="D21" i="27"/>
  <c r="H21" i="27" s="1"/>
  <c r="D20" i="27"/>
  <c r="H20" i="27" s="1"/>
  <c r="B18" i="27"/>
  <c r="C17" i="27"/>
  <c r="C16" i="27"/>
  <c r="C15" i="27"/>
  <c r="C14" i="27"/>
  <c r="C13" i="27"/>
  <c r="C12" i="27"/>
  <c r="C11" i="27"/>
  <c r="C10" i="27"/>
  <c r="C9" i="27"/>
  <c r="C8" i="27"/>
  <c r="C7" i="27"/>
  <c r="C6" i="27"/>
  <c r="D1" i="27"/>
  <c r="D15" i="27" l="1"/>
  <c r="P15" i="27" s="1"/>
  <c r="L15" i="27"/>
  <c r="D6" i="27"/>
  <c r="R6" i="27" s="1"/>
  <c r="L6" i="27"/>
  <c r="M6" i="27" s="1"/>
  <c r="D14" i="27"/>
  <c r="P14" i="27" s="1"/>
  <c r="L14" i="27"/>
  <c r="D11" i="27"/>
  <c r="P11" i="27" s="1"/>
  <c r="L11" i="27"/>
  <c r="M11" i="27" s="1"/>
  <c r="D8" i="27"/>
  <c r="P8" i="27" s="1"/>
  <c r="L8" i="27"/>
  <c r="D12" i="27"/>
  <c r="P12" i="27" s="1"/>
  <c r="L12" i="27"/>
  <c r="M12" i="27" s="1"/>
  <c r="D16" i="27"/>
  <c r="P16" i="27" s="1"/>
  <c r="L16" i="27"/>
  <c r="D10" i="27"/>
  <c r="P10" i="27" s="1"/>
  <c r="L10" i="27"/>
  <c r="D7" i="27"/>
  <c r="P7" i="27" s="1"/>
  <c r="L7" i="27"/>
  <c r="D9" i="27"/>
  <c r="P9" i="27" s="1"/>
  <c r="L9" i="27"/>
  <c r="M9" i="27" s="1"/>
  <c r="D13" i="27"/>
  <c r="P13" i="27" s="1"/>
  <c r="L13" i="27"/>
  <c r="D17" i="27"/>
  <c r="P17" i="27" s="1"/>
  <c r="L17" i="27"/>
  <c r="M17" i="27" s="1"/>
  <c r="H86" i="27"/>
  <c r="D90" i="27"/>
  <c r="H30" i="27"/>
  <c r="L30" i="27"/>
  <c r="M30" i="27" s="1"/>
  <c r="H35" i="27"/>
  <c r="L35" i="27"/>
  <c r="M35" i="27" s="1"/>
  <c r="R36" i="27"/>
  <c r="L36" i="27"/>
  <c r="M36" i="27" s="1"/>
  <c r="R12" i="27"/>
  <c r="P30" i="27"/>
  <c r="R17" i="27"/>
  <c r="R35" i="27"/>
  <c r="M84" i="27"/>
  <c r="H28" i="27"/>
  <c r="R30" i="27"/>
  <c r="D67" i="27"/>
  <c r="G105" i="27" s="1"/>
  <c r="H53" i="27"/>
  <c r="P75" i="27"/>
  <c r="H75" i="27"/>
  <c r="R77" i="27"/>
  <c r="H77" i="27"/>
  <c r="P36" i="27"/>
  <c r="S36" i="27" s="1"/>
  <c r="H36" i="27"/>
  <c r="H40" i="27" s="1"/>
  <c r="R8" i="27"/>
  <c r="S8" i="27" s="1"/>
  <c r="R13" i="27"/>
  <c r="S13" i="27" s="1"/>
  <c r="R16" i="27"/>
  <c r="S16" i="27" s="1"/>
  <c r="R66" i="27"/>
  <c r="H66" i="27"/>
  <c r="R59" i="27"/>
  <c r="H59" i="27"/>
  <c r="P76" i="27"/>
  <c r="H76" i="27"/>
  <c r="R87" i="27"/>
  <c r="H87" i="27"/>
  <c r="S17" i="27"/>
  <c r="M15" i="27"/>
  <c r="H6" i="27"/>
  <c r="H13" i="27"/>
  <c r="H14" i="27"/>
  <c r="H17" i="27"/>
  <c r="P66" i="27"/>
  <c r="P74" i="27"/>
  <c r="P86" i="27"/>
  <c r="P87" i="27"/>
  <c r="P88" i="27"/>
  <c r="S12" i="27"/>
  <c r="H94" i="27"/>
  <c r="M7" i="27"/>
  <c r="H9" i="27"/>
  <c r="H10" i="27"/>
  <c r="M8" i="27"/>
  <c r="M10" i="27"/>
  <c r="M13" i="27"/>
  <c r="M14" i="27"/>
  <c r="M16" i="27"/>
  <c r="D40" i="27"/>
  <c r="R74" i="27"/>
  <c r="S74" i="27" s="1"/>
  <c r="R75" i="27"/>
  <c r="R86" i="27"/>
  <c r="H51" i="27"/>
  <c r="H8" i="27"/>
  <c r="R10" i="27"/>
  <c r="S10" i="27" s="1"/>
  <c r="H12" i="27"/>
  <c r="R14" i="27"/>
  <c r="S14" i="27" s="1"/>
  <c r="H16" i="27"/>
  <c r="D28" i="27"/>
  <c r="P35" i="27"/>
  <c r="M59" i="27"/>
  <c r="M67" i="27" s="1"/>
  <c r="P59" i="27"/>
  <c r="R76" i="27"/>
  <c r="H7" i="27"/>
  <c r="H11" i="27"/>
  <c r="H15" i="27"/>
  <c r="D18" i="27"/>
  <c r="G101" i="27" s="1"/>
  <c r="P6" i="27"/>
  <c r="S6" i="27" s="1"/>
  <c r="R7" i="27"/>
  <c r="S7" i="27" s="1"/>
  <c r="R11" i="27"/>
  <c r="S11" i="27" s="1"/>
  <c r="R15" i="27"/>
  <c r="S15" i="27" s="1"/>
  <c r="D84" i="27"/>
  <c r="D94" i="27"/>
  <c r="G109" i="27" s="1"/>
  <c r="P77" i="27"/>
  <c r="D51" i="27"/>
  <c r="R88" i="27"/>
  <c r="R9" i="27" l="1"/>
  <c r="S9" i="27" s="1"/>
  <c r="H124" i="27"/>
  <c r="J124" i="27"/>
  <c r="K124" i="27"/>
  <c r="I124" i="27"/>
  <c r="H90" i="27"/>
  <c r="R84" i="27"/>
  <c r="H84" i="27"/>
  <c r="G122" i="27" s="1"/>
  <c r="B108" i="27"/>
  <c r="G108" i="27"/>
  <c r="B109" i="27"/>
  <c r="S86" i="27"/>
  <c r="R90" i="27"/>
  <c r="R67" i="27"/>
  <c r="F139" i="27"/>
  <c r="J139" i="27"/>
  <c r="G139" i="27"/>
  <c r="K139" i="27"/>
  <c r="D139" i="27"/>
  <c r="H139" i="27"/>
  <c r="L139" i="27"/>
  <c r="E139" i="27"/>
  <c r="I139" i="27"/>
  <c r="C139" i="27"/>
  <c r="S30" i="27"/>
  <c r="R40" i="27"/>
  <c r="S88" i="27"/>
  <c r="G104" i="27"/>
  <c r="B104" i="27"/>
  <c r="B101" i="27"/>
  <c r="G103" i="27"/>
  <c r="B103" i="27"/>
  <c r="G107" i="27"/>
  <c r="B107" i="27"/>
  <c r="G102" i="27"/>
  <c r="B102" i="27"/>
  <c r="B105" i="27"/>
  <c r="I122" i="27"/>
  <c r="D118" i="27"/>
  <c r="H118" i="27"/>
  <c r="L118" i="27"/>
  <c r="G118" i="27"/>
  <c r="K118" i="27"/>
  <c r="C118" i="27"/>
  <c r="E118" i="27"/>
  <c r="I118" i="27"/>
  <c r="F118" i="27"/>
  <c r="J118" i="27"/>
  <c r="S76" i="27"/>
  <c r="G119" i="27"/>
  <c r="K119" i="27"/>
  <c r="J119" i="27"/>
  <c r="D119" i="27"/>
  <c r="H119" i="27"/>
  <c r="L119" i="27"/>
  <c r="E119" i="27"/>
  <c r="I119" i="27"/>
  <c r="C119" i="27"/>
  <c r="F119" i="27"/>
  <c r="S66" i="27"/>
  <c r="G123" i="27"/>
  <c r="K123" i="27"/>
  <c r="J123" i="27"/>
  <c r="D123" i="27"/>
  <c r="H123" i="27"/>
  <c r="L123" i="27"/>
  <c r="E123" i="27"/>
  <c r="I123" i="27"/>
  <c r="C123" i="27"/>
  <c r="F123" i="27"/>
  <c r="E117" i="27"/>
  <c r="I117" i="27"/>
  <c r="C117" i="27"/>
  <c r="H117" i="27"/>
  <c r="F117" i="27"/>
  <c r="J117" i="27"/>
  <c r="G117" i="27"/>
  <c r="K117" i="27"/>
  <c r="D117" i="27"/>
  <c r="L117" i="27"/>
  <c r="S35" i="27"/>
  <c r="F137" i="27"/>
  <c r="J137" i="27"/>
  <c r="C137" i="27"/>
  <c r="G137" i="27"/>
  <c r="K137" i="27"/>
  <c r="D137" i="27"/>
  <c r="H137" i="27"/>
  <c r="L137" i="27"/>
  <c r="E137" i="27"/>
  <c r="I137" i="27"/>
  <c r="F124" i="27"/>
  <c r="C124" i="27"/>
  <c r="D124" i="27"/>
  <c r="E124" i="27"/>
  <c r="S87" i="27"/>
  <c r="M40" i="27"/>
  <c r="S77" i="27"/>
  <c r="S59" i="27"/>
  <c r="S75" i="27"/>
  <c r="H18" i="27"/>
  <c r="M18" i="27"/>
  <c r="H67" i="27"/>
  <c r="R18" i="27"/>
  <c r="L122" i="27" l="1"/>
  <c r="C122" i="27"/>
  <c r="H122" i="27"/>
  <c r="F122" i="27"/>
  <c r="K122" i="27"/>
  <c r="E122" i="27"/>
  <c r="D122" i="27"/>
  <c r="J122" i="27"/>
  <c r="L155" i="27"/>
  <c r="G155" i="27"/>
  <c r="L150" i="27"/>
  <c r="G150" i="27"/>
  <c r="G152" i="27"/>
  <c r="L152" i="27"/>
  <c r="L154" i="27"/>
  <c r="G154" i="27"/>
  <c r="L148" i="27"/>
  <c r="G148" i="27"/>
  <c r="G110" i="27"/>
  <c r="H47" i="34" s="1"/>
  <c r="B110" i="27"/>
  <c r="C47" i="34" s="1"/>
  <c r="F120" i="27"/>
  <c r="J120" i="27"/>
  <c r="I120" i="27"/>
  <c r="G120" i="27"/>
  <c r="K120" i="27"/>
  <c r="C120" i="27"/>
  <c r="D120" i="27"/>
  <c r="H120" i="27"/>
  <c r="L120" i="27"/>
  <c r="E120" i="27"/>
  <c r="D133" i="27"/>
  <c r="H133" i="27"/>
  <c r="L133" i="27"/>
  <c r="E133" i="27"/>
  <c r="I133" i="27"/>
  <c r="C133" i="27"/>
  <c r="K133" i="27"/>
  <c r="F133" i="27"/>
  <c r="J133" i="27"/>
  <c r="G133" i="27"/>
  <c r="F116" i="27"/>
  <c r="J116" i="27"/>
  <c r="E116" i="27"/>
  <c r="G116" i="27"/>
  <c r="K116" i="27"/>
  <c r="K125" i="27" s="1"/>
  <c r="L33" i="34" s="1"/>
  <c r="L45" i="34" s="1"/>
  <c r="C116" i="27"/>
  <c r="D116" i="27"/>
  <c r="D125" i="27" s="1"/>
  <c r="E33" i="34" s="1"/>
  <c r="E45" i="34" s="1"/>
  <c r="H116" i="27"/>
  <c r="L116" i="27"/>
  <c r="L125" i="27" s="1"/>
  <c r="M33" i="34" s="1"/>
  <c r="M45" i="34" s="1"/>
  <c r="I116" i="27"/>
  <c r="G135" i="27"/>
  <c r="K135" i="27"/>
  <c r="C135" i="27"/>
  <c r="F135" i="27"/>
  <c r="F142" i="27" s="1"/>
  <c r="G32" i="34" s="1"/>
  <c r="D135" i="27"/>
  <c r="H135" i="27"/>
  <c r="L135" i="27"/>
  <c r="E135" i="27"/>
  <c r="E142" i="27" s="1"/>
  <c r="F32" i="34" s="1"/>
  <c r="I135" i="27"/>
  <c r="J135" i="27"/>
  <c r="J125" i="27" l="1"/>
  <c r="K33" i="34" s="1"/>
  <c r="K45" i="34" s="1"/>
  <c r="F125" i="27"/>
  <c r="G33" i="34" s="1"/>
  <c r="G45" i="34" s="1"/>
  <c r="C125" i="27"/>
  <c r="D33" i="34" s="1"/>
  <c r="D45" i="34" s="1"/>
  <c r="E125" i="27"/>
  <c r="F33" i="34" s="1"/>
  <c r="F45" i="34" s="1"/>
  <c r="L157" i="27"/>
  <c r="M50" i="34" s="1"/>
  <c r="G157" i="27"/>
  <c r="H50" i="34" s="1"/>
  <c r="C47" i="1"/>
  <c r="E33" i="1"/>
  <c r="F33" i="1"/>
  <c r="H47" i="1"/>
  <c r="K33" i="1"/>
  <c r="F32" i="1"/>
  <c r="G32" i="1"/>
  <c r="M33" i="1"/>
  <c r="L33" i="1"/>
  <c r="G33" i="1"/>
  <c r="M50" i="1"/>
  <c r="C127" i="27"/>
  <c r="D33" i="1"/>
  <c r="C142" i="27"/>
  <c r="H142" i="27"/>
  <c r="I32" i="34" s="1"/>
  <c r="I125" i="27"/>
  <c r="J33" i="34" s="1"/>
  <c r="J45" i="34" s="1"/>
  <c r="I142" i="27"/>
  <c r="J32" i="34" s="1"/>
  <c r="D142" i="27"/>
  <c r="E32" i="34" s="1"/>
  <c r="G142" i="27"/>
  <c r="H32" i="34" s="1"/>
  <c r="J142" i="27"/>
  <c r="K32" i="34" s="1"/>
  <c r="H125" i="27"/>
  <c r="I33" i="34" s="1"/>
  <c r="I45" i="34" s="1"/>
  <c r="G125" i="27"/>
  <c r="H33" i="34" s="1"/>
  <c r="H45" i="34" s="1"/>
  <c r="K142" i="27"/>
  <c r="L32" i="34" s="1"/>
  <c r="L142" i="27"/>
  <c r="M32" i="34" s="1"/>
  <c r="D32" i="34" l="1"/>
  <c r="H50" i="1"/>
  <c r="L32" i="1"/>
  <c r="H33" i="1"/>
  <c r="E32" i="1"/>
  <c r="H32" i="1"/>
  <c r="I33" i="1"/>
  <c r="I32" i="1"/>
  <c r="J32" i="1"/>
  <c r="M32" i="1"/>
  <c r="K32" i="1"/>
  <c r="J33" i="1"/>
  <c r="D32" i="1"/>
  <c r="K211" i="8"/>
  <c r="G185" i="8"/>
  <c r="I108" i="26" l="1"/>
  <c r="J108" i="26" s="1"/>
  <c r="G123" i="26" s="1"/>
  <c r="I107" i="26"/>
  <c r="J107" i="26" s="1"/>
  <c r="G122" i="26" s="1"/>
  <c r="E70" i="26"/>
  <c r="E40" i="26"/>
  <c r="E5" i="26"/>
  <c r="H35" i="24"/>
  <c r="G35" i="24"/>
  <c r="H20" i="24"/>
  <c r="G20" i="24"/>
  <c r="F20" i="24"/>
  <c r="Q7" i="24"/>
  <c r="P38" i="25" s="1"/>
  <c r="P7" i="24"/>
  <c r="O38" i="25" s="1"/>
  <c r="O7" i="24"/>
  <c r="N7" i="24"/>
  <c r="N13" i="24" s="1"/>
  <c r="L47" i="26" s="1"/>
  <c r="M7" i="24"/>
  <c r="L37" i="25" s="1"/>
  <c r="L7" i="24"/>
  <c r="K37" i="25" s="1"/>
  <c r="K7" i="24"/>
  <c r="J7" i="24"/>
  <c r="J14" i="24" s="1"/>
  <c r="H17" i="26" s="1"/>
  <c r="I7" i="24"/>
  <c r="H38" i="25" s="1"/>
  <c r="H7" i="24"/>
  <c r="G38" i="25" s="1"/>
  <c r="G7" i="24"/>
  <c r="F7" i="24"/>
  <c r="F13" i="24" s="1"/>
  <c r="Z4" i="24"/>
  <c r="S7" i="24" s="1"/>
  <c r="G116" i="26" l="1"/>
  <c r="K116" i="26"/>
  <c r="D116" i="26"/>
  <c r="J122" i="26"/>
  <c r="O116" i="26"/>
  <c r="F122" i="26"/>
  <c r="F124" i="26" s="1"/>
  <c r="F14" i="34" s="1"/>
  <c r="P37" i="25"/>
  <c r="P39" i="25" s="1"/>
  <c r="AA7" i="24"/>
  <c r="Z38" i="25" s="1"/>
  <c r="L117" i="26"/>
  <c r="H117" i="26"/>
  <c r="D123" i="26"/>
  <c r="J123" i="26"/>
  <c r="F123" i="26"/>
  <c r="D117" i="26"/>
  <c r="O117" i="26"/>
  <c r="K117" i="26"/>
  <c r="G117" i="26"/>
  <c r="G118" i="26" s="1"/>
  <c r="M123" i="26"/>
  <c r="I123" i="26"/>
  <c r="E123" i="26"/>
  <c r="N117" i="26"/>
  <c r="J117" i="26"/>
  <c r="F117" i="26"/>
  <c r="L123" i="26"/>
  <c r="H123" i="26"/>
  <c r="M117" i="26"/>
  <c r="I117" i="26"/>
  <c r="E117" i="26"/>
  <c r="K123" i="26"/>
  <c r="N116" i="26"/>
  <c r="N118" i="26" s="1"/>
  <c r="J116" i="26"/>
  <c r="F116" i="26"/>
  <c r="F118" i="26" s="1"/>
  <c r="M122" i="26"/>
  <c r="M124" i="26" s="1"/>
  <c r="M14" i="34" s="1"/>
  <c r="I122" i="26"/>
  <c r="I124" i="26" s="1"/>
  <c r="I14" i="34" s="1"/>
  <c r="E122" i="26"/>
  <c r="M116" i="26"/>
  <c r="M118" i="26" s="1"/>
  <c r="I116" i="26"/>
  <c r="I118" i="26" s="1"/>
  <c r="E116" i="26"/>
  <c r="E118" i="26" s="1"/>
  <c r="D122" i="26"/>
  <c r="D124" i="26" s="1"/>
  <c r="D14" i="34" s="1"/>
  <c r="G124" i="26"/>
  <c r="G14" i="34" s="1"/>
  <c r="L122" i="26"/>
  <c r="H122" i="26"/>
  <c r="H124" i="26" s="1"/>
  <c r="H14" i="34" s="1"/>
  <c r="L116" i="26"/>
  <c r="L118" i="26" s="1"/>
  <c r="H116" i="26"/>
  <c r="H118" i="26" s="1"/>
  <c r="K122" i="26"/>
  <c r="K124" i="26" s="1"/>
  <c r="K14" i="34" s="1"/>
  <c r="H37" i="25"/>
  <c r="H39" i="25" s="1"/>
  <c r="L38" i="25"/>
  <c r="L39" i="25" s="1"/>
  <c r="F38" i="25"/>
  <c r="F37" i="25"/>
  <c r="J38" i="25"/>
  <c r="J37" i="25"/>
  <c r="N38" i="25"/>
  <c r="N37" i="25"/>
  <c r="R38" i="25"/>
  <c r="R37" i="25"/>
  <c r="K13" i="24"/>
  <c r="S13" i="24"/>
  <c r="G14" i="24"/>
  <c r="O14" i="24"/>
  <c r="G42" i="24"/>
  <c r="AC7" i="24"/>
  <c r="Y7" i="24"/>
  <c r="U7" i="24"/>
  <c r="AB7" i="24"/>
  <c r="X7" i="24"/>
  <c r="T7" i="24"/>
  <c r="AL4" i="24"/>
  <c r="V7" i="24"/>
  <c r="D77" i="26"/>
  <c r="F33" i="24"/>
  <c r="F59" i="24" s="1"/>
  <c r="D16" i="26"/>
  <c r="F26" i="24"/>
  <c r="L77" i="26"/>
  <c r="N33" i="24"/>
  <c r="N59" i="24" s="1"/>
  <c r="L16" i="26"/>
  <c r="H78" i="26"/>
  <c r="J34" i="24"/>
  <c r="J60" i="24" s="1"/>
  <c r="I7" i="25" s="1"/>
  <c r="H48" i="26"/>
  <c r="I19" i="24"/>
  <c r="Q19" i="24"/>
  <c r="L56" i="26"/>
  <c r="W7" i="24"/>
  <c r="G13" i="24"/>
  <c r="O13" i="24"/>
  <c r="K14" i="24"/>
  <c r="S14" i="24"/>
  <c r="E38" i="25"/>
  <c r="E37" i="25"/>
  <c r="I38" i="25"/>
  <c r="I37" i="25"/>
  <c r="M38" i="25"/>
  <c r="M37" i="25"/>
  <c r="R7" i="24"/>
  <c r="Z7" i="24"/>
  <c r="F8" i="24"/>
  <c r="G8" i="24" s="1"/>
  <c r="H8" i="24" s="1"/>
  <c r="I8" i="24" s="1"/>
  <c r="J8" i="24" s="1"/>
  <c r="K8" i="24" s="1"/>
  <c r="L8" i="24" s="1"/>
  <c r="M8" i="24" s="1"/>
  <c r="N8" i="24" s="1"/>
  <c r="O8" i="24" s="1"/>
  <c r="P8" i="24" s="1"/>
  <c r="Q8" i="24" s="1"/>
  <c r="J13" i="24"/>
  <c r="F14" i="24"/>
  <c r="N14" i="24"/>
  <c r="D47" i="26"/>
  <c r="G61" i="24"/>
  <c r="F61" i="24"/>
  <c r="H13" i="24"/>
  <c r="L13" i="24"/>
  <c r="P13" i="24"/>
  <c r="H14" i="24"/>
  <c r="L14" i="24"/>
  <c r="P14" i="24"/>
  <c r="I13" i="24"/>
  <c r="M13" i="24"/>
  <c r="Q13" i="24"/>
  <c r="I14" i="24"/>
  <c r="M14" i="24"/>
  <c r="Q14" i="24"/>
  <c r="H61" i="24"/>
  <c r="G37" i="25"/>
  <c r="G39" i="25" s="1"/>
  <c r="O37" i="25"/>
  <c r="O39" i="25" s="1"/>
  <c r="K38" i="25"/>
  <c r="K39" i="25" s="1"/>
  <c r="K118" i="26" l="1"/>
  <c r="O118" i="26"/>
  <c r="D118" i="26"/>
  <c r="J124" i="26"/>
  <c r="J14" i="34" s="1"/>
  <c r="AA14" i="24"/>
  <c r="Y78" i="26" s="1"/>
  <c r="L124" i="26"/>
  <c r="L14" i="34" s="1"/>
  <c r="F14" i="1"/>
  <c r="Z37" i="25"/>
  <c r="Z39" i="25" s="1"/>
  <c r="J14" i="1"/>
  <c r="E124" i="26"/>
  <c r="E14" i="34" s="1"/>
  <c r="J118" i="26"/>
  <c r="AA13" i="24"/>
  <c r="Y47" i="26" s="1"/>
  <c r="K14" i="1"/>
  <c r="L14" i="1"/>
  <c r="D14" i="1"/>
  <c r="G14" i="1"/>
  <c r="H14" i="1"/>
  <c r="M14" i="1"/>
  <c r="I14" i="1"/>
  <c r="O27" i="24"/>
  <c r="I39" i="25"/>
  <c r="F8" i="25"/>
  <c r="G8" i="25"/>
  <c r="R39" i="25"/>
  <c r="J39" i="25"/>
  <c r="F39" i="25"/>
  <c r="M39" i="25"/>
  <c r="E39" i="25"/>
  <c r="K47" i="26"/>
  <c r="M33" i="24"/>
  <c r="K77" i="26"/>
  <c r="P19" i="24"/>
  <c r="K16" i="26"/>
  <c r="E6" i="25"/>
  <c r="F17" i="26"/>
  <c r="F48" i="26"/>
  <c r="H34" i="24"/>
  <c r="H60" i="24" s="1"/>
  <c r="G7" i="25" s="1"/>
  <c r="M27" i="24"/>
  <c r="F78" i="26"/>
  <c r="E8" i="25"/>
  <c r="D56" i="26"/>
  <c r="D78" i="26"/>
  <c r="D79" i="26" s="1"/>
  <c r="H27" i="24"/>
  <c r="F34" i="24"/>
  <c r="F36" i="24" s="1"/>
  <c r="F27" i="24"/>
  <c r="F28" i="24" s="1"/>
  <c r="D17" i="26"/>
  <c r="K27" i="24"/>
  <c r="G27" i="24"/>
  <c r="J27" i="24"/>
  <c r="D48" i="26"/>
  <c r="D49" i="26" s="1"/>
  <c r="I27" i="24"/>
  <c r="Q38" i="25"/>
  <c r="Q37" i="25"/>
  <c r="R13" i="24"/>
  <c r="R14" i="24"/>
  <c r="S27" i="24" s="1"/>
  <c r="R8" i="24"/>
  <c r="S8" i="24" s="1"/>
  <c r="T8" i="24" s="1"/>
  <c r="U8" i="24" s="1"/>
  <c r="V8" i="24" s="1"/>
  <c r="W8" i="24" s="1"/>
  <c r="X8" i="24" s="1"/>
  <c r="Y8" i="24" s="1"/>
  <c r="Z8" i="24" s="1"/>
  <c r="AA8" i="24" s="1"/>
  <c r="AB8" i="24" s="1"/>
  <c r="AC8" i="24" s="1"/>
  <c r="M16" i="26"/>
  <c r="M77" i="26"/>
  <c r="M47" i="26"/>
  <c r="R19" i="24"/>
  <c r="O33" i="24"/>
  <c r="V38" i="25"/>
  <c r="V37" i="25"/>
  <c r="W13" i="24"/>
  <c r="W14" i="24"/>
  <c r="S38" i="25"/>
  <c r="T14" i="24"/>
  <c r="T13" i="24"/>
  <c r="S37" i="25"/>
  <c r="Y14" i="24"/>
  <c r="Y13" i="24"/>
  <c r="X38" i="25"/>
  <c r="X37" i="25"/>
  <c r="E17" i="26"/>
  <c r="E78" i="26"/>
  <c r="L27" i="24"/>
  <c r="G34" i="24"/>
  <c r="G60" i="24" s="1"/>
  <c r="F7" i="25" s="1"/>
  <c r="E48" i="26"/>
  <c r="K48" i="26"/>
  <c r="M34" i="24"/>
  <c r="M60" i="24" s="1"/>
  <c r="L7" i="25" s="1"/>
  <c r="K78" i="26"/>
  <c r="K17" i="26"/>
  <c r="G47" i="26"/>
  <c r="I33" i="24"/>
  <c r="G77" i="26"/>
  <c r="G16" i="26"/>
  <c r="L19" i="24"/>
  <c r="N16" i="26"/>
  <c r="N47" i="26"/>
  <c r="P33" i="24"/>
  <c r="S19" i="24"/>
  <c r="N77" i="26"/>
  <c r="H77" i="26"/>
  <c r="H47" i="26"/>
  <c r="J33" i="24"/>
  <c r="M19" i="24"/>
  <c r="H16" i="26"/>
  <c r="Y48" i="26"/>
  <c r="E16" i="26"/>
  <c r="E77" i="26"/>
  <c r="E47" i="26"/>
  <c r="G33" i="24"/>
  <c r="J19" i="24"/>
  <c r="J26" i="24" s="1"/>
  <c r="G26" i="24"/>
  <c r="D86" i="26"/>
  <c r="W37" i="25"/>
  <c r="W38" i="25"/>
  <c r="X14" i="24"/>
  <c r="X13" i="24"/>
  <c r="AC14" i="24"/>
  <c r="AC13" i="24"/>
  <c r="AB37" i="25"/>
  <c r="AB38" i="25"/>
  <c r="G48" i="26"/>
  <c r="I34" i="24"/>
  <c r="I60" i="24" s="1"/>
  <c r="H7" i="25" s="1"/>
  <c r="G78" i="26"/>
  <c r="G17" i="26"/>
  <c r="N27" i="24"/>
  <c r="M6" i="25"/>
  <c r="N17" i="26"/>
  <c r="N48" i="26"/>
  <c r="P34" i="24"/>
  <c r="P60" i="24" s="1"/>
  <c r="O7" i="25" s="1"/>
  <c r="N78" i="26"/>
  <c r="J16" i="26"/>
  <c r="J47" i="26"/>
  <c r="L33" i="24"/>
  <c r="J77" i="26"/>
  <c r="O19" i="24"/>
  <c r="Q17" i="26"/>
  <c r="Q48" i="26"/>
  <c r="Q78" i="26"/>
  <c r="S34" i="24"/>
  <c r="S60" i="24" s="1"/>
  <c r="R7" i="25" s="1"/>
  <c r="Q35" i="24"/>
  <c r="Q61" i="24" s="1"/>
  <c r="Q20" i="24"/>
  <c r="U38" i="25"/>
  <c r="U37" i="25"/>
  <c r="V14" i="24"/>
  <c r="V13" i="24"/>
  <c r="AA38" i="25"/>
  <c r="AA37" i="25"/>
  <c r="AB14" i="24"/>
  <c r="AB13" i="24"/>
  <c r="Q16" i="26"/>
  <c r="Q47" i="26"/>
  <c r="S33" i="24"/>
  <c r="Q77" i="26"/>
  <c r="V19" i="24"/>
  <c r="O48" i="26"/>
  <c r="Q34" i="24"/>
  <c r="Q60" i="24" s="1"/>
  <c r="P7" i="25" s="1"/>
  <c r="O78" i="26"/>
  <c r="O17" i="26"/>
  <c r="O47" i="26"/>
  <c r="Q33" i="24"/>
  <c r="O77" i="26"/>
  <c r="O16" i="26"/>
  <c r="T19" i="24"/>
  <c r="J17" i="26"/>
  <c r="J48" i="26"/>
  <c r="L34" i="24"/>
  <c r="L60" i="24" s="1"/>
  <c r="K7" i="25" s="1"/>
  <c r="J78" i="26"/>
  <c r="Q27" i="24"/>
  <c r="F16" i="26"/>
  <c r="F47" i="26"/>
  <c r="H33" i="24"/>
  <c r="K19" i="24"/>
  <c r="F77" i="26"/>
  <c r="L78" i="26"/>
  <c r="L79" i="26" s="1"/>
  <c r="N34" i="24"/>
  <c r="N60" i="24" s="1"/>
  <c r="M7" i="25" s="1"/>
  <c r="L17" i="26"/>
  <c r="L48" i="26"/>
  <c r="L49" i="26" s="1"/>
  <c r="Y38" i="25"/>
  <c r="Y37" i="25"/>
  <c r="Z13" i="24"/>
  <c r="Z14" i="24"/>
  <c r="I17" i="26"/>
  <c r="I48" i="26"/>
  <c r="P27" i="24"/>
  <c r="I78" i="26"/>
  <c r="K34" i="24"/>
  <c r="K60" i="24" s="1"/>
  <c r="J7" i="25" s="1"/>
  <c r="I35" i="24"/>
  <c r="I20" i="24"/>
  <c r="I26" i="24"/>
  <c r="L86" i="26"/>
  <c r="H26" i="24"/>
  <c r="H42" i="24"/>
  <c r="AO7" i="24"/>
  <c r="AK7" i="24"/>
  <c r="AG7" i="24"/>
  <c r="AX4" i="24"/>
  <c r="AN7" i="24"/>
  <c r="AJ7" i="24"/>
  <c r="AF7" i="24"/>
  <c r="AH7" i="24"/>
  <c r="AM7" i="24"/>
  <c r="AE7" i="24"/>
  <c r="AL7" i="24"/>
  <c r="AD7" i="24"/>
  <c r="AI7" i="24"/>
  <c r="U14" i="24"/>
  <c r="U13" i="24"/>
  <c r="T37" i="25"/>
  <c r="T38" i="25"/>
  <c r="M17" i="26"/>
  <c r="M78" i="26"/>
  <c r="O34" i="24"/>
  <c r="O60" i="24" s="1"/>
  <c r="N7" i="25" s="1"/>
  <c r="M48" i="26"/>
  <c r="I16" i="26"/>
  <c r="I47" i="26"/>
  <c r="I77" i="26"/>
  <c r="K33" i="24"/>
  <c r="N19" i="24"/>
  <c r="N39" i="25"/>
  <c r="R27" i="24" l="1"/>
  <c r="E14" i="1"/>
  <c r="Y17" i="26"/>
  <c r="AA34" i="24"/>
  <c r="AA60" i="24" s="1"/>
  <c r="Z7" i="25" s="1"/>
  <c r="T27" i="24"/>
  <c r="AD19" i="24"/>
  <c r="AD20" i="24" s="1"/>
  <c r="Y16" i="26"/>
  <c r="H28" i="24"/>
  <c r="F18" i="26" s="1"/>
  <c r="F25" i="26" s="1"/>
  <c r="AA33" i="24"/>
  <c r="AA59" i="24" s="1"/>
  <c r="Y77" i="26"/>
  <c r="Y79" i="26" s="1"/>
  <c r="D18" i="26"/>
  <c r="D25" i="26" s="1"/>
  <c r="J28" i="24"/>
  <c r="H18" i="26" s="1"/>
  <c r="H25" i="26" s="1"/>
  <c r="S39" i="25"/>
  <c r="G28" i="24"/>
  <c r="E18" i="26" s="1"/>
  <c r="E25" i="26" s="1"/>
  <c r="S26" i="24"/>
  <c r="S28" i="24" s="1"/>
  <c r="Q18" i="26" s="1"/>
  <c r="Q25" i="26" s="1"/>
  <c r="L26" i="24"/>
  <c r="L28" i="24" s="1"/>
  <c r="J18" i="26" s="1"/>
  <c r="J25" i="26" s="1"/>
  <c r="P8" i="25"/>
  <c r="E43" i="25"/>
  <c r="D19" i="34" s="1"/>
  <c r="F43" i="24"/>
  <c r="AA39" i="25"/>
  <c r="U39" i="25"/>
  <c r="V39" i="25"/>
  <c r="Y39" i="25"/>
  <c r="X39" i="25"/>
  <c r="Q39" i="25"/>
  <c r="I79" i="26"/>
  <c r="I86" i="26"/>
  <c r="S48" i="26"/>
  <c r="U34" i="24"/>
  <c r="U60" i="24" s="1"/>
  <c r="T7" i="25" s="1"/>
  <c r="S78" i="26"/>
  <c r="Z27" i="24"/>
  <c r="S17" i="26"/>
  <c r="AK38" i="25"/>
  <c r="AK37" i="25"/>
  <c r="AL14" i="24"/>
  <c r="AL13" i="24"/>
  <c r="AE37" i="25"/>
  <c r="AF14" i="24"/>
  <c r="AF13" i="24"/>
  <c r="AE38" i="25"/>
  <c r="AG14" i="24"/>
  <c r="AG13" i="24"/>
  <c r="AF38" i="25"/>
  <c r="AF37" i="25"/>
  <c r="N35" i="24"/>
  <c r="N61" i="24" s="1"/>
  <c r="N20" i="24"/>
  <c r="I56" i="26"/>
  <c r="I49" i="26"/>
  <c r="T39" i="25"/>
  <c r="AD38" i="25"/>
  <c r="AD37" i="25"/>
  <c r="AE13" i="24"/>
  <c r="AE14" i="24"/>
  <c r="AI38" i="25"/>
  <c r="AJ14" i="24"/>
  <c r="AJ13" i="24"/>
  <c r="AI37" i="25"/>
  <c r="AK14" i="24"/>
  <c r="AK13" i="24"/>
  <c r="AJ37" i="25"/>
  <c r="AJ38" i="25"/>
  <c r="I61" i="24"/>
  <c r="H36" i="24"/>
  <c r="H59" i="24"/>
  <c r="Q36" i="24"/>
  <c r="Q59" i="24"/>
  <c r="V35" i="24"/>
  <c r="V61" i="24" s="1"/>
  <c r="U8" i="25" s="1"/>
  <c r="V20" i="24"/>
  <c r="Q56" i="26"/>
  <c r="Q49" i="26"/>
  <c r="Z17" i="26"/>
  <c r="Z48" i="26"/>
  <c r="AB34" i="24"/>
  <c r="AB60" i="24" s="1"/>
  <c r="AA7" i="25" s="1"/>
  <c r="Z78" i="26"/>
  <c r="T77" i="26"/>
  <c r="V33" i="24"/>
  <c r="T16" i="26"/>
  <c r="T47" i="26"/>
  <c r="Y19" i="24"/>
  <c r="L59" i="24"/>
  <c r="AD35" i="24"/>
  <c r="Y56" i="26"/>
  <c r="Y49" i="26"/>
  <c r="AA47" i="26"/>
  <c r="AC33" i="24"/>
  <c r="AA77" i="26"/>
  <c r="AF19" i="24"/>
  <c r="AA16" i="26"/>
  <c r="V16" i="26"/>
  <c r="V47" i="26"/>
  <c r="X33" i="24"/>
  <c r="AA19" i="24"/>
  <c r="V77" i="26"/>
  <c r="P26" i="24"/>
  <c r="P28" i="24" s="1"/>
  <c r="N18" i="26" s="1"/>
  <c r="N25" i="26" s="1"/>
  <c r="E56" i="26"/>
  <c r="E49" i="26"/>
  <c r="P59" i="24"/>
  <c r="L20" i="24"/>
  <c r="L35" i="24"/>
  <c r="L61" i="24" s="1"/>
  <c r="G56" i="26"/>
  <c r="G49" i="26"/>
  <c r="U16" i="26"/>
  <c r="U77" i="26"/>
  <c r="U47" i="26"/>
  <c r="Z19" i="24"/>
  <c r="W33" i="24"/>
  <c r="O59" i="24"/>
  <c r="M86" i="26"/>
  <c r="M79" i="26"/>
  <c r="P77" i="26"/>
  <c r="T26" i="24"/>
  <c r="R33" i="24"/>
  <c r="P47" i="26"/>
  <c r="U19" i="24"/>
  <c r="U26" i="24" s="1"/>
  <c r="P16" i="26"/>
  <c r="O26" i="24"/>
  <c r="O28" i="24" s="1"/>
  <c r="M18" i="26" s="1"/>
  <c r="M25" i="26" s="1"/>
  <c r="K56" i="26"/>
  <c r="K49" i="26"/>
  <c r="M26" i="24"/>
  <c r="M28" i="24" s="1"/>
  <c r="K18" i="26" s="1"/>
  <c r="K25" i="26" s="1"/>
  <c r="AH38" i="25"/>
  <c r="AH37" i="25"/>
  <c r="AI14" i="24"/>
  <c r="AI13" i="24"/>
  <c r="AL38" i="25"/>
  <c r="AL37" i="25"/>
  <c r="AM13" i="24"/>
  <c r="AM14" i="24"/>
  <c r="AM37" i="25"/>
  <c r="AM38" i="25"/>
  <c r="AN14" i="24"/>
  <c r="AN13" i="24"/>
  <c r="AO14" i="24"/>
  <c r="AO13" i="24"/>
  <c r="AN38" i="25"/>
  <c r="AN37" i="25"/>
  <c r="X78" i="26"/>
  <c r="Z34" i="24"/>
  <c r="Z60" i="24" s="1"/>
  <c r="Y7" i="25" s="1"/>
  <c r="X48" i="26"/>
  <c r="X17" i="26"/>
  <c r="F86" i="26"/>
  <c r="F79" i="26"/>
  <c r="F56" i="26"/>
  <c r="F49" i="26"/>
  <c r="T20" i="24"/>
  <c r="T35" i="24"/>
  <c r="T61" i="24" s="1"/>
  <c r="S8" i="25" s="1"/>
  <c r="O56" i="26"/>
  <c r="O49" i="26"/>
  <c r="V27" i="24"/>
  <c r="N26" i="24"/>
  <c r="N28" i="24" s="1"/>
  <c r="L18" i="26" s="1"/>
  <c r="L25" i="26" s="1"/>
  <c r="J56" i="26"/>
  <c r="J49" i="26"/>
  <c r="AA48" i="26"/>
  <c r="AC34" i="24"/>
  <c r="AC60" i="24" s="1"/>
  <c r="AB7" i="25" s="1"/>
  <c r="AA78" i="26"/>
  <c r="AA17" i="26"/>
  <c r="V17" i="26"/>
  <c r="V48" i="26"/>
  <c r="X34" i="24"/>
  <c r="X60" i="24" s="1"/>
  <c r="W7" i="25" s="1"/>
  <c r="V78" i="26"/>
  <c r="AC27" i="24"/>
  <c r="E86" i="26"/>
  <c r="E79" i="26"/>
  <c r="M35" i="24"/>
  <c r="M61" i="24" s="1"/>
  <c r="M20" i="24"/>
  <c r="H86" i="26"/>
  <c r="H79" i="26"/>
  <c r="N79" i="26"/>
  <c r="N86" i="26"/>
  <c r="N56" i="26"/>
  <c r="N49" i="26"/>
  <c r="W47" i="26"/>
  <c r="Y33" i="24"/>
  <c r="W77" i="26"/>
  <c r="W16" i="26"/>
  <c r="AB19" i="24"/>
  <c r="R35" i="24"/>
  <c r="R20" i="24"/>
  <c r="P20" i="24"/>
  <c r="P35" i="24"/>
  <c r="P61" i="24" s="1"/>
  <c r="K59" i="24"/>
  <c r="S47" i="26"/>
  <c r="U33" i="24"/>
  <c r="S77" i="26"/>
  <c r="X19" i="24"/>
  <c r="S16" i="26"/>
  <c r="AC38" i="25"/>
  <c r="AC37" i="25"/>
  <c r="AD14" i="24"/>
  <c r="AD8" i="24"/>
  <c r="AE8" i="24" s="1"/>
  <c r="AF8" i="24" s="1"/>
  <c r="AG8" i="24" s="1"/>
  <c r="AH8" i="24" s="1"/>
  <c r="AI8" i="24" s="1"/>
  <c r="AJ8" i="24" s="1"/>
  <c r="AK8" i="24" s="1"/>
  <c r="AL8" i="24" s="1"/>
  <c r="AM8" i="24" s="1"/>
  <c r="AN8" i="24" s="1"/>
  <c r="AO8" i="24" s="1"/>
  <c r="AD13" i="24"/>
  <c r="AG38" i="25"/>
  <c r="AG37" i="25"/>
  <c r="AH13" i="24"/>
  <c r="AH14" i="24"/>
  <c r="BA7" i="24"/>
  <c r="AW7" i="24"/>
  <c r="AS7" i="24"/>
  <c r="AZ7" i="24"/>
  <c r="AV7" i="24"/>
  <c r="AR7" i="24"/>
  <c r="AX7" i="24"/>
  <c r="AP7" i="24"/>
  <c r="I42" i="24"/>
  <c r="AU7" i="24"/>
  <c r="BJ4" i="24"/>
  <c r="AT7" i="24"/>
  <c r="AY7" i="24"/>
  <c r="AQ7" i="24"/>
  <c r="I28" i="24"/>
  <c r="G18" i="26" s="1"/>
  <c r="G25" i="26" s="1"/>
  <c r="X77" i="26"/>
  <c r="X47" i="26"/>
  <c r="Z33" i="24"/>
  <c r="X16" i="26"/>
  <c r="AC19" i="24"/>
  <c r="K20" i="24"/>
  <c r="K35" i="24"/>
  <c r="K61" i="24" s="1"/>
  <c r="Q86" i="26"/>
  <c r="Q79" i="26"/>
  <c r="T78" i="26"/>
  <c r="T17" i="26"/>
  <c r="AA27" i="24"/>
  <c r="V34" i="24"/>
  <c r="V60" i="24" s="1"/>
  <c r="U7" i="25" s="1"/>
  <c r="T48" i="26"/>
  <c r="X27" i="24"/>
  <c r="O35" i="24"/>
  <c r="O61" i="24" s="1"/>
  <c r="O20" i="24"/>
  <c r="AB39" i="25"/>
  <c r="J35" i="24"/>
  <c r="J61" i="24" s="1"/>
  <c r="J20" i="24"/>
  <c r="J59" i="24"/>
  <c r="S35" i="24"/>
  <c r="S61" i="24" s="1"/>
  <c r="R8" i="25" s="1"/>
  <c r="S20" i="24"/>
  <c r="G86" i="26"/>
  <c r="G79" i="26"/>
  <c r="W48" i="26"/>
  <c r="Y34" i="24"/>
  <c r="Y60" i="24" s="1"/>
  <c r="X7" i="25" s="1"/>
  <c r="W78" i="26"/>
  <c r="W17" i="26"/>
  <c r="R16" i="26"/>
  <c r="R47" i="26"/>
  <c r="T33" i="24"/>
  <c r="R77" i="26"/>
  <c r="W19" i="24"/>
  <c r="Q26" i="24"/>
  <c r="Q28" i="24" s="1"/>
  <c r="O18" i="26" s="1"/>
  <c r="O25" i="26" s="1"/>
  <c r="K86" i="26"/>
  <c r="K79" i="26"/>
  <c r="O86" i="26"/>
  <c r="O79" i="26"/>
  <c r="S59" i="24"/>
  <c r="Z16" i="26"/>
  <c r="Z47" i="26"/>
  <c r="AB33" i="24"/>
  <c r="Z77" i="26"/>
  <c r="AE19" i="24"/>
  <c r="J86" i="26"/>
  <c r="J79" i="26"/>
  <c r="U27" i="24"/>
  <c r="W39" i="25"/>
  <c r="G36" i="24"/>
  <c r="G59" i="24"/>
  <c r="H56" i="26"/>
  <c r="H49" i="26"/>
  <c r="R26" i="24"/>
  <c r="R28" i="24" s="1"/>
  <c r="K26" i="24"/>
  <c r="K28" i="24" s="1"/>
  <c r="I18" i="26" s="1"/>
  <c r="I25" i="26" s="1"/>
  <c r="I36" i="24"/>
  <c r="I59" i="24"/>
  <c r="R17" i="26"/>
  <c r="R48" i="26"/>
  <c r="T34" i="24"/>
  <c r="T60" i="24" s="1"/>
  <c r="S7" i="25" s="1"/>
  <c r="R78" i="26"/>
  <c r="Y27" i="24"/>
  <c r="U17" i="26"/>
  <c r="U78" i="26"/>
  <c r="AB27" i="24"/>
  <c r="U48" i="26"/>
  <c r="W34" i="24"/>
  <c r="W60" i="24" s="1"/>
  <c r="V7" i="25" s="1"/>
  <c r="M56" i="26"/>
  <c r="M49" i="26"/>
  <c r="P78" i="26"/>
  <c r="R34" i="24"/>
  <c r="P48" i="26"/>
  <c r="W27" i="24"/>
  <c r="P17" i="26"/>
  <c r="F44" i="24"/>
  <c r="F60" i="24"/>
  <c r="M59" i="24"/>
  <c r="T28" i="24" l="1"/>
  <c r="Y86" i="26"/>
  <c r="N36" i="24"/>
  <c r="D19" i="1"/>
  <c r="J36" i="24"/>
  <c r="V26" i="24"/>
  <c r="V28" i="24" s="1"/>
  <c r="T18" i="26" s="1"/>
  <c r="T25" i="26" s="1"/>
  <c r="AC39" i="25"/>
  <c r="AA26" i="24"/>
  <c r="AA28" i="24" s="1"/>
  <c r="Y18" i="26" s="1"/>
  <c r="Y25" i="26" s="1"/>
  <c r="O36" i="24"/>
  <c r="K8" i="25"/>
  <c r="N8" i="25"/>
  <c r="AB26" i="24"/>
  <c r="AB28" i="24" s="1"/>
  <c r="Z18" i="26" s="1"/>
  <c r="Z25" i="26" s="1"/>
  <c r="J8" i="25"/>
  <c r="I8" i="25"/>
  <c r="O8" i="25"/>
  <c r="S36" i="24"/>
  <c r="L8" i="25"/>
  <c r="AM39" i="25"/>
  <c r="AD39" i="25"/>
  <c r="D90" i="26"/>
  <c r="D98" i="26" s="1"/>
  <c r="D29" i="26"/>
  <c r="D96" i="26" s="1"/>
  <c r="D60" i="26"/>
  <c r="D97" i="26" s="1"/>
  <c r="AI39" i="25"/>
  <c r="F43" i="25"/>
  <c r="E19" i="34" s="1"/>
  <c r="AH39" i="25"/>
  <c r="G44" i="24"/>
  <c r="R60" i="24"/>
  <c r="I6" i="25"/>
  <c r="J62" i="24"/>
  <c r="AC35" i="24"/>
  <c r="AC61" i="24" s="1"/>
  <c r="AB8" i="25" s="1"/>
  <c r="AC20" i="24"/>
  <c r="J42" i="24"/>
  <c r="BM7" i="24"/>
  <c r="BI7" i="24"/>
  <c r="BE7" i="24"/>
  <c r="BL7" i="24"/>
  <c r="BH7" i="24"/>
  <c r="BD7" i="24"/>
  <c r="BF7" i="24"/>
  <c r="BV4" i="24"/>
  <c r="BK7" i="24"/>
  <c r="BC7" i="24"/>
  <c r="BJ7" i="24"/>
  <c r="BB7" i="24"/>
  <c r="BG7" i="24"/>
  <c r="AW38" i="25"/>
  <c r="AW37" i="25"/>
  <c r="AX13" i="24"/>
  <c r="AX14" i="24"/>
  <c r="AF78" i="26"/>
  <c r="AH34" i="24"/>
  <c r="AH60" i="24" s="1"/>
  <c r="AG7" i="25" s="1"/>
  <c r="AF48" i="26"/>
  <c r="AM27" i="24"/>
  <c r="AF17" i="26"/>
  <c r="AB78" i="26"/>
  <c r="AD34" i="24"/>
  <c r="AB17" i="26"/>
  <c r="AI27" i="24"/>
  <c r="AB48" i="26"/>
  <c r="Z86" i="26"/>
  <c r="Z79" i="26"/>
  <c r="R6" i="25"/>
  <c r="R9" i="25" s="1"/>
  <c r="R134" i="8" s="1"/>
  <c r="R135" i="8" s="1"/>
  <c r="S62" i="24"/>
  <c r="R56" i="26"/>
  <c r="R49" i="26"/>
  <c r="X86" i="26"/>
  <c r="X79" i="26"/>
  <c r="AP38" i="25"/>
  <c r="AP37" i="25"/>
  <c r="AQ14" i="24"/>
  <c r="AQ13" i="24"/>
  <c r="AT38" i="25"/>
  <c r="AT37" i="25"/>
  <c r="AU13" i="24"/>
  <c r="AU14" i="24"/>
  <c r="AQ38" i="25"/>
  <c r="AR14" i="24"/>
  <c r="AR13" i="24"/>
  <c r="AQ37" i="25"/>
  <c r="AW14" i="24"/>
  <c r="AW13" i="24"/>
  <c r="AV38" i="25"/>
  <c r="AV37" i="25"/>
  <c r="AF77" i="26"/>
  <c r="AH33" i="24"/>
  <c r="AF47" i="26"/>
  <c r="AK19" i="24"/>
  <c r="AF16" i="26"/>
  <c r="X20" i="24"/>
  <c r="X35" i="24"/>
  <c r="X61" i="24" s="1"/>
  <c r="W8" i="25" s="1"/>
  <c r="J6" i="25"/>
  <c r="K62" i="24"/>
  <c r="R61" i="24"/>
  <c r="W86" i="26"/>
  <c r="W79" i="26"/>
  <c r="U28" i="24"/>
  <c r="S18" i="26" s="1"/>
  <c r="S25" i="26" s="1"/>
  <c r="AK16" i="26"/>
  <c r="AK77" i="26"/>
  <c r="AK47" i="26"/>
  <c r="AP19" i="24"/>
  <c r="AM33" i="24"/>
  <c r="AG16" i="26"/>
  <c r="AG47" i="26"/>
  <c r="AI33" i="24"/>
  <c r="AG77" i="26"/>
  <c r="AL19" i="24"/>
  <c r="U35" i="24"/>
  <c r="U61" i="24" s="1"/>
  <c r="T8" i="25" s="1"/>
  <c r="U20" i="24"/>
  <c r="P86" i="26"/>
  <c r="P79" i="26"/>
  <c r="U56" i="26"/>
  <c r="U49" i="26"/>
  <c r="P36" i="24"/>
  <c r="V79" i="26"/>
  <c r="V86" i="26"/>
  <c r="V56" i="26"/>
  <c r="V49" i="26"/>
  <c r="AF20" i="24"/>
  <c r="AF35" i="24"/>
  <c r="AF61" i="24" s="1"/>
  <c r="AE8" i="25" s="1"/>
  <c r="K6" i="25"/>
  <c r="L62" i="24"/>
  <c r="X26" i="24"/>
  <c r="X28" i="24" s="1"/>
  <c r="V18" i="26" s="1"/>
  <c r="V25" i="26" s="1"/>
  <c r="G6" i="25"/>
  <c r="G9" i="25" s="1"/>
  <c r="H62" i="24"/>
  <c r="AI48" i="26"/>
  <c r="AK34" i="24"/>
  <c r="AK60" i="24" s="1"/>
  <c r="AJ7" i="25" s="1"/>
  <c r="AI78" i="26"/>
  <c r="AI17" i="26"/>
  <c r="AH16" i="26"/>
  <c r="AH47" i="26"/>
  <c r="AJ33" i="24"/>
  <c r="AH77" i="26"/>
  <c r="AM19" i="24"/>
  <c r="AD17" i="26"/>
  <c r="AD48" i="26"/>
  <c r="AF34" i="24"/>
  <c r="AF60" i="24" s="1"/>
  <c r="AE7" i="25" s="1"/>
  <c r="AD78" i="26"/>
  <c r="AK27" i="24"/>
  <c r="L6" i="25"/>
  <c r="M62" i="24"/>
  <c r="F6" i="25"/>
  <c r="G62" i="24"/>
  <c r="F66" i="24"/>
  <c r="AB59" i="24"/>
  <c r="W35" i="24"/>
  <c r="W61" i="24" s="1"/>
  <c r="V8" i="25" s="1"/>
  <c r="W20" i="24"/>
  <c r="Z6" i="25"/>
  <c r="Z59" i="24"/>
  <c r="AX38" i="25"/>
  <c r="AX37" i="25"/>
  <c r="AY14" i="24"/>
  <c r="AY13" i="24"/>
  <c r="AU37" i="25"/>
  <c r="AV14" i="24"/>
  <c r="AV13" i="24"/>
  <c r="AU38" i="25"/>
  <c r="BA14" i="24"/>
  <c r="BA13" i="24"/>
  <c r="AZ37" i="25"/>
  <c r="AZ38" i="25"/>
  <c r="AB77" i="26"/>
  <c r="AD33" i="24"/>
  <c r="AF26" i="24"/>
  <c r="AB16" i="26"/>
  <c r="AB47" i="26"/>
  <c r="AG19" i="24"/>
  <c r="S86" i="26"/>
  <c r="S79" i="26"/>
  <c r="K36" i="24"/>
  <c r="Y59" i="24"/>
  <c r="AF27" i="24"/>
  <c r="AM47" i="26"/>
  <c r="AO33" i="24"/>
  <c r="AM77" i="26"/>
  <c r="AM16" i="26"/>
  <c r="AR19" i="24"/>
  <c r="AL16" i="26"/>
  <c r="AL47" i="26"/>
  <c r="AN33" i="24"/>
  <c r="AQ19" i="24"/>
  <c r="AL77" i="26"/>
  <c r="P56" i="26"/>
  <c r="P49" i="26"/>
  <c r="Y26" i="24"/>
  <c r="Y28" i="24" s="1"/>
  <c r="W18" i="26" s="1"/>
  <c r="W25" i="26" s="1"/>
  <c r="U86" i="26"/>
  <c r="U79" i="26"/>
  <c r="AA20" i="24"/>
  <c r="AA35" i="24"/>
  <c r="AA86" i="26"/>
  <c r="AA79" i="26"/>
  <c r="Y35" i="24"/>
  <c r="Y61" i="24" s="1"/>
  <c r="X8" i="25" s="1"/>
  <c r="Y20" i="24"/>
  <c r="V36" i="24"/>
  <c r="V59" i="24"/>
  <c r="AJ39" i="25"/>
  <c r="AH17" i="26"/>
  <c r="AH48" i="26"/>
  <c r="AJ34" i="24"/>
  <c r="AJ60" i="24" s="1"/>
  <c r="AI7" i="25" s="1"/>
  <c r="AH78" i="26"/>
  <c r="AO27" i="24"/>
  <c r="AC17" i="26"/>
  <c r="AC78" i="26"/>
  <c r="AJ27" i="24"/>
  <c r="AE34" i="24"/>
  <c r="AE60" i="24" s="1"/>
  <c r="AD7" i="25" s="1"/>
  <c r="AC48" i="26"/>
  <c r="AE39" i="25"/>
  <c r="M36" i="24"/>
  <c r="E7" i="25"/>
  <c r="F67" i="24"/>
  <c r="F62" i="24"/>
  <c r="H6" i="25"/>
  <c r="I62" i="24"/>
  <c r="P18" i="26"/>
  <c r="P25" i="26" s="1"/>
  <c r="AD26" i="24"/>
  <c r="Z56" i="26"/>
  <c r="Z49" i="26"/>
  <c r="R86" i="26"/>
  <c r="R79" i="26"/>
  <c r="AD27" i="24"/>
  <c r="X56" i="26"/>
  <c r="X49" i="26"/>
  <c r="AS38" i="25"/>
  <c r="AS37" i="25"/>
  <c r="AT14" i="24"/>
  <c r="AT13" i="24"/>
  <c r="AO38" i="25"/>
  <c r="AO37" i="25"/>
  <c r="AP13" i="24"/>
  <c r="AP14" i="24"/>
  <c r="AP8" i="24"/>
  <c r="AQ8" i="24" s="1"/>
  <c r="AR8" i="24" s="1"/>
  <c r="AS8" i="24" s="1"/>
  <c r="AT8" i="24" s="1"/>
  <c r="AU8" i="24" s="1"/>
  <c r="AV8" i="24" s="1"/>
  <c r="AW8" i="24" s="1"/>
  <c r="AX8" i="24" s="1"/>
  <c r="AY8" i="24" s="1"/>
  <c r="AZ8" i="24" s="1"/>
  <c r="BA8" i="24" s="1"/>
  <c r="AY38" i="25"/>
  <c r="AY37" i="25"/>
  <c r="AZ14" i="24"/>
  <c r="AZ13" i="24"/>
  <c r="AG39" i="25"/>
  <c r="W26" i="24"/>
  <c r="W28" i="24" s="1"/>
  <c r="U18" i="26" s="1"/>
  <c r="U25" i="26" s="1"/>
  <c r="U59" i="24"/>
  <c r="AB20" i="24"/>
  <c r="AB35" i="24"/>
  <c r="AB61" i="24" s="1"/>
  <c r="AA8" i="25" s="1"/>
  <c r="W56" i="26"/>
  <c r="W49" i="26"/>
  <c r="AH27" i="24"/>
  <c r="AE27" i="24"/>
  <c r="AN39" i="25"/>
  <c r="AM48" i="26"/>
  <c r="AO34" i="24"/>
  <c r="AO60" i="24" s="1"/>
  <c r="AN7" i="25" s="1"/>
  <c r="AM78" i="26"/>
  <c r="AM17" i="26"/>
  <c r="AL17" i="26"/>
  <c r="AL48" i="26"/>
  <c r="AN34" i="24"/>
  <c r="AN60" i="24" s="1"/>
  <c r="AM7" i="25" s="1"/>
  <c r="AL78" i="26"/>
  <c r="AL39" i="25"/>
  <c r="AG17" i="26"/>
  <c r="AG48" i="26"/>
  <c r="AN27" i="24"/>
  <c r="AG78" i="26"/>
  <c r="AI34" i="24"/>
  <c r="AI60" i="24" s="1"/>
  <c r="AH7" i="25" s="1"/>
  <c r="R36" i="24"/>
  <c r="G43" i="24"/>
  <c r="R59" i="24"/>
  <c r="W59" i="24"/>
  <c r="Z26" i="24"/>
  <c r="Z28" i="24" s="1"/>
  <c r="X18" i="26" s="1"/>
  <c r="X25" i="26" s="1"/>
  <c r="AC59" i="24"/>
  <c r="AD61" i="24"/>
  <c r="T56" i="26"/>
  <c r="T49" i="26"/>
  <c r="T86" i="26"/>
  <c r="T79" i="26"/>
  <c r="P6" i="25"/>
  <c r="P9" i="25" s="1"/>
  <c r="Q62" i="24"/>
  <c r="F45" i="24"/>
  <c r="F46" i="24" s="1"/>
  <c r="AC16" i="26"/>
  <c r="AC77" i="26"/>
  <c r="AH19" i="24"/>
  <c r="AC47" i="26"/>
  <c r="AE33" i="24"/>
  <c r="M8" i="25"/>
  <c r="M9" i="25" s="1"/>
  <c r="N62" i="24"/>
  <c r="AE47" i="26"/>
  <c r="AG33" i="24"/>
  <c r="AE77" i="26"/>
  <c r="AE16" i="26"/>
  <c r="AJ19" i="24"/>
  <c r="AJ78" i="26"/>
  <c r="AJ17" i="26"/>
  <c r="AL34" i="24"/>
  <c r="AL60" i="24" s="1"/>
  <c r="AK7" i="25" s="1"/>
  <c r="AJ48" i="26"/>
  <c r="AE35" i="24"/>
  <c r="AE61" i="24" s="1"/>
  <c r="AD8" i="25" s="1"/>
  <c r="AE20" i="24"/>
  <c r="T59" i="24"/>
  <c r="T36" i="24"/>
  <c r="AS14" i="24"/>
  <c r="AS13" i="24"/>
  <c r="AR37" i="25"/>
  <c r="AR38" i="25"/>
  <c r="S56" i="26"/>
  <c r="S49" i="26"/>
  <c r="AC26" i="24"/>
  <c r="AC28" i="24" s="1"/>
  <c r="AA18" i="26" s="1"/>
  <c r="AA25" i="26" s="1"/>
  <c r="AK17" i="26"/>
  <c r="AK78" i="26"/>
  <c r="AK48" i="26"/>
  <c r="AM34" i="24"/>
  <c r="AM60" i="24" s="1"/>
  <c r="AL7" i="25" s="1"/>
  <c r="R18" i="26"/>
  <c r="R25" i="26" s="1"/>
  <c r="N6" i="25"/>
  <c r="O62" i="24"/>
  <c r="Z35" i="24"/>
  <c r="Z61" i="24" s="1"/>
  <c r="Y8" i="25" s="1"/>
  <c r="Z20" i="24"/>
  <c r="O6" i="25"/>
  <c r="P62" i="24"/>
  <c r="X59" i="24"/>
  <c r="AE26" i="24"/>
  <c r="AA56" i="26"/>
  <c r="AA49" i="26"/>
  <c r="L36" i="24"/>
  <c r="AG27" i="24"/>
  <c r="H8" i="25"/>
  <c r="F68" i="24"/>
  <c r="AI47" i="26"/>
  <c r="AK33" i="24"/>
  <c r="AI77" i="26"/>
  <c r="AN19" i="24"/>
  <c r="AI16" i="26"/>
  <c r="AF39" i="25"/>
  <c r="AE48" i="26"/>
  <c r="AG34" i="24"/>
  <c r="AG60" i="24" s="1"/>
  <c r="AF7" i="25" s="1"/>
  <c r="AE78" i="26"/>
  <c r="AE17" i="26"/>
  <c r="AL27" i="24"/>
  <c r="AD16" i="26"/>
  <c r="AD47" i="26"/>
  <c r="AF33" i="24"/>
  <c r="AI19" i="24"/>
  <c r="AD77" i="26"/>
  <c r="AJ77" i="26"/>
  <c r="AL33" i="24"/>
  <c r="AJ16" i="26"/>
  <c r="AJ47" i="26"/>
  <c r="AO19" i="24"/>
  <c r="AK39" i="25"/>
  <c r="I53" i="24" l="1"/>
  <c r="E19" i="16" s="1"/>
  <c r="D13" i="34"/>
  <c r="O9" i="25"/>
  <c r="N9" i="25"/>
  <c r="L9" i="25"/>
  <c r="AQ27" i="24"/>
  <c r="D12" i="34"/>
  <c r="W36" i="24"/>
  <c r="U36" i="24"/>
  <c r="AM26" i="24"/>
  <c r="AM28" i="24" s="1"/>
  <c r="AK18" i="26" s="1"/>
  <c r="AK25" i="26" s="1"/>
  <c r="X36" i="24"/>
  <c r="AR27" i="24"/>
  <c r="AH26" i="24"/>
  <c r="AH28" i="24" s="1"/>
  <c r="AF18" i="26" s="1"/>
  <c r="AF25" i="26" s="1"/>
  <c r="AC36" i="24"/>
  <c r="AW39" i="25"/>
  <c r="M134" i="8"/>
  <c r="M135" i="8" s="1"/>
  <c r="M139" i="8" s="1"/>
  <c r="M140" i="8" s="1"/>
  <c r="P134" i="8"/>
  <c r="P135" i="8" s="1"/>
  <c r="R139" i="8"/>
  <c r="R140" i="8" s="1"/>
  <c r="G134" i="8"/>
  <c r="G135" i="8" s="1"/>
  <c r="G139" i="8" s="1"/>
  <c r="G140" i="8" s="1"/>
  <c r="Y36" i="24"/>
  <c r="AF28" i="24"/>
  <c r="AD18" i="26" s="1"/>
  <c r="AD25" i="26" s="1"/>
  <c r="K9" i="25"/>
  <c r="I9" i="25"/>
  <c r="D13" i="1"/>
  <c r="J9" i="25"/>
  <c r="AZ39" i="25"/>
  <c r="AQ39" i="25"/>
  <c r="D12" i="1"/>
  <c r="E14" i="25"/>
  <c r="E19" i="1"/>
  <c r="D99" i="26"/>
  <c r="D15" i="34" s="1"/>
  <c r="G128" i="8"/>
  <c r="G120" i="8"/>
  <c r="M128" i="8"/>
  <c r="M120" i="8"/>
  <c r="R128" i="8"/>
  <c r="R120" i="8"/>
  <c r="G43" i="25"/>
  <c r="F19" i="34" s="1"/>
  <c r="P128" i="8"/>
  <c r="P120" i="8"/>
  <c r="AO39" i="25"/>
  <c r="AN20" i="24"/>
  <c r="AN35" i="24"/>
  <c r="AN61" i="24" s="1"/>
  <c r="AM8" i="25" s="1"/>
  <c r="O23" i="25"/>
  <c r="O24" i="25"/>
  <c r="AC56" i="26"/>
  <c r="AC49" i="26"/>
  <c r="AL86" i="26"/>
  <c r="AL79" i="26"/>
  <c r="AG35" i="24"/>
  <c r="AG61" i="24" s="1"/>
  <c r="AF8" i="25" s="1"/>
  <c r="AG20" i="24"/>
  <c r="L23" i="25"/>
  <c r="L24" i="25"/>
  <c r="AN26" i="24"/>
  <c r="AN28" i="24" s="1"/>
  <c r="AL18" i="26" s="1"/>
  <c r="AL25" i="26" s="1"/>
  <c r="AI35" i="24"/>
  <c r="AI61" i="24" s="1"/>
  <c r="AH8" i="25" s="1"/>
  <c r="AI20" i="24"/>
  <c r="AI56" i="26"/>
  <c r="AI49" i="26"/>
  <c r="N24" i="25"/>
  <c r="N23" i="25"/>
  <c r="AJ20" i="24"/>
  <c r="AJ35" i="24"/>
  <c r="AJ61" i="24" s="1"/>
  <c r="AI8" i="25" s="1"/>
  <c r="AE56" i="26"/>
  <c r="AE49" i="26"/>
  <c r="AE36" i="24"/>
  <c r="AE59" i="24"/>
  <c r="AC62" i="24"/>
  <c r="AB6" i="25"/>
  <c r="AB9" i="25" s="1"/>
  <c r="AB134" i="8" s="1"/>
  <c r="AB135" i="8" s="1"/>
  <c r="AB139" i="8" s="1"/>
  <c r="T6" i="25"/>
  <c r="T9" i="25" s="1"/>
  <c r="T134" i="8" s="1"/>
  <c r="T135" i="8" s="1"/>
  <c r="U62" i="24"/>
  <c r="AN77" i="26"/>
  <c r="AR26" i="24"/>
  <c r="AN47" i="26"/>
  <c r="AP33" i="24"/>
  <c r="AN16" i="26"/>
  <c r="AS19" i="24"/>
  <c r="AS26" i="24" s="1"/>
  <c r="AR77" i="26"/>
  <c r="AT33" i="24"/>
  <c r="AR16" i="26"/>
  <c r="AW19" i="24"/>
  <c r="AR47" i="26"/>
  <c r="AS39" i="25"/>
  <c r="F69" i="24"/>
  <c r="E24" i="25"/>
  <c r="E23" i="25"/>
  <c r="U6" i="25"/>
  <c r="U9" i="25" s="1"/>
  <c r="U134" i="8" s="1"/>
  <c r="U135" i="8" s="1"/>
  <c r="U139" i="8" s="1"/>
  <c r="V62" i="24"/>
  <c r="E60" i="26"/>
  <c r="E97" i="26" s="1"/>
  <c r="AN59" i="24"/>
  <c r="AR20" i="24"/>
  <c r="AR35" i="24"/>
  <c r="AR61" i="24" s="1"/>
  <c r="AQ8" i="25" s="1"/>
  <c r="AM56" i="26"/>
  <c r="AM49" i="26"/>
  <c r="X6" i="25"/>
  <c r="X9" i="25" s="1"/>
  <c r="X134" i="8" s="1"/>
  <c r="X135" i="8" s="1"/>
  <c r="Y62" i="24"/>
  <c r="AT17" i="26"/>
  <c r="AT48" i="26"/>
  <c r="AV34" i="24"/>
  <c r="AV60" i="24" s="1"/>
  <c r="AU7" i="25" s="1"/>
  <c r="AT78" i="26"/>
  <c r="BA27" i="24"/>
  <c r="Z36" i="24"/>
  <c r="AA6" i="25"/>
  <c r="AA9" i="25" s="1"/>
  <c r="AA134" i="8" s="1"/>
  <c r="AA135" i="8" s="1"/>
  <c r="AB62" i="24"/>
  <c r="AM35" i="24"/>
  <c r="AM61" i="24" s="1"/>
  <c r="AL8" i="25" s="1"/>
  <c r="AM20" i="24"/>
  <c r="AH56" i="26"/>
  <c r="AH49" i="26"/>
  <c r="K24" i="25"/>
  <c r="K23" i="25"/>
  <c r="AG86" i="26"/>
  <c r="AG79" i="26"/>
  <c r="AO26" i="24"/>
  <c r="AO28" i="24" s="1"/>
  <c r="AM18" i="26" s="1"/>
  <c r="AM25" i="26" s="1"/>
  <c r="AK86" i="26"/>
  <c r="AK79" i="26"/>
  <c r="G45" i="24"/>
  <c r="G46" i="24" s="1"/>
  <c r="AF56" i="26"/>
  <c r="AF49" i="26"/>
  <c r="AV39" i="25"/>
  <c r="AU48" i="26"/>
  <c r="AW34" i="24"/>
  <c r="AW60" i="24" s="1"/>
  <c r="AV7" i="25" s="1"/>
  <c r="AU78" i="26"/>
  <c r="AU17" i="26"/>
  <c r="AP16" i="26"/>
  <c r="AP47" i="26"/>
  <c r="AR33" i="24"/>
  <c r="AP77" i="26"/>
  <c r="AU19" i="24"/>
  <c r="AT39" i="25"/>
  <c r="AO17" i="26"/>
  <c r="AO48" i="26"/>
  <c r="AV27" i="24"/>
  <c r="AO78" i="26"/>
  <c r="AQ34" i="24"/>
  <c r="AQ60" i="24" s="1"/>
  <c r="AP7" i="25" s="1"/>
  <c r="BA38" i="25"/>
  <c r="BA37" i="25"/>
  <c r="BB14" i="24"/>
  <c r="BB8" i="24"/>
  <c r="BC8" i="24" s="1"/>
  <c r="BD8" i="24" s="1"/>
  <c r="BE8" i="24" s="1"/>
  <c r="BF8" i="24" s="1"/>
  <c r="BG8" i="24" s="1"/>
  <c r="BH8" i="24" s="1"/>
  <c r="BI8" i="24" s="1"/>
  <c r="BJ8" i="24" s="1"/>
  <c r="BK8" i="24" s="1"/>
  <c r="BL8" i="24" s="1"/>
  <c r="BM8" i="24" s="1"/>
  <c r="BB13" i="24"/>
  <c r="K42" i="24"/>
  <c r="BY7" i="24"/>
  <c r="BU7" i="24"/>
  <c r="BQ7" i="24"/>
  <c r="BX7" i="24"/>
  <c r="BT7" i="24"/>
  <c r="BP7" i="24"/>
  <c r="CH4" i="24"/>
  <c r="BV7" i="24"/>
  <c r="BN7" i="24"/>
  <c r="BS7" i="24"/>
  <c r="BR7" i="24"/>
  <c r="BW7" i="24"/>
  <c r="BO7" i="24"/>
  <c r="BK37" i="25"/>
  <c r="BL14" i="24"/>
  <c r="BL13" i="24"/>
  <c r="BK38" i="25"/>
  <c r="G66" i="24"/>
  <c r="Q6" i="25"/>
  <c r="R62" i="24"/>
  <c r="AA61" i="24"/>
  <c r="G68" i="24" s="1"/>
  <c r="AA36" i="24"/>
  <c r="AW17" i="26"/>
  <c r="AW48" i="26"/>
  <c r="AW78" i="26"/>
  <c r="AY34" i="24"/>
  <c r="AY60" i="24" s="1"/>
  <c r="AX7" i="25" s="1"/>
  <c r="AI59" i="24"/>
  <c r="AM59" i="24"/>
  <c r="AP17" i="26"/>
  <c r="AP48" i="26"/>
  <c r="AR34" i="24"/>
  <c r="AR60" i="24" s="1"/>
  <c r="AQ7" i="25" s="1"/>
  <c r="AP78" i="26"/>
  <c r="AW27" i="24"/>
  <c r="BE14" i="24"/>
  <c r="BE13" i="24"/>
  <c r="BD38" i="25"/>
  <c r="BD37" i="25"/>
  <c r="AJ56" i="26"/>
  <c r="AJ49" i="26"/>
  <c r="AJ86" i="26"/>
  <c r="AJ79" i="26"/>
  <c r="AF36" i="24"/>
  <c r="AF59" i="24"/>
  <c r="AI86" i="26"/>
  <c r="AI79" i="26"/>
  <c r="AE28" i="24"/>
  <c r="AC18" i="26" s="1"/>
  <c r="AC25" i="26" s="1"/>
  <c r="AQ48" i="26"/>
  <c r="AS34" i="24"/>
  <c r="AS60" i="24" s="1"/>
  <c r="AR7" i="25" s="1"/>
  <c r="AQ78" i="26"/>
  <c r="AQ17" i="26"/>
  <c r="AX27" i="24"/>
  <c r="S6" i="25"/>
  <c r="S9" i="25" s="1"/>
  <c r="S134" i="8" s="1"/>
  <c r="S135" i="8" s="1"/>
  <c r="S139" i="8" s="1"/>
  <c r="S140" i="8" s="1"/>
  <c r="T62" i="24"/>
  <c r="AE86" i="26"/>
  <c r="AE79" i="26"/>
  <c r="AH35" i="24"/>
  <c r="AH61" i="24" s="1"/>
  <c r="AG8" i="25" s="1"/>
  <c r="AH20" i="24"/>
  <c r="AC8" i="25"/>
  <c r="AS27" i="24"/>
  <c r="AT27" i="24"/>
  <c r="AX17" i="26"/>
  <c r="AX48" i="26"/>
  <c r="AZ34" i="24"/>
  <c r="AZ60" i="24" s="1"/>
  <c r="AY7" i="25" s="1"/>
  <c r="AX78" i="26"/>
  <c r="AD28" i="24"/>
  <c r="AB18" i="26" s="1"/>
  <c r="AB25" i="26" s="1"/>
  <c r="E29" i="26"/>
  <c r="E96" i="26" s="1"/>
  <c r="H24" i="25"/>
  <c r="H23" i="25"/>
  <c r="E13" i="25"/>
  <c r="E9" i="25"/>
  <c r="AP26" i="24"/>
  <c r="AM86" i="26"/>
  <c r="AM79" i="26"/>
  <c r="AB56" i="26"/>
  <c r="AB49" i="26"/>
  <c r="AB86" i="26"/>
  <c r="AB79" i="26"/>
  <c r="AY47" i="26"/>
  <c r="BA33" i="24"/>
  <c r="AY77" i="26"/>
  <c r="BD19" i="24"/>
  <c r="AY16" i="26"/>
  <c r="F9" i="25"/>
  <c r="E12" i="25"/>
  <c r="AL26" i="24"/>
  <c r="AL28" i="24" s="1"/>
  <c r="AJ18" i="26" s="1"/>
  <c r="AJ25" i="26" s="1"/>
  <c r="AK26" i="24"/>
  <c r="AK28" i="24" s="1"/>
  <c r="AI18" i="26" s="1"/>
  <c r="AI25" i="26" s="1"/>
  <c r="AG56" i="26"/>
  <c r="AG49" i="26"/>
  <c r="AP35" i="24"/>
  <c r="AP20" i="24"/>
  <c r="AJ26" i="24"/>
  <c r="AJ28" i="24" s="1"/>
  <c r="AH18" i="26" s="1"/>
  <c r="AH25" i="26" s="1"/>
  <c r="AS16" i="26"/>
  <c r="AS77" i="26"/>
  <c r="AS47" i="26"/>
  <c r="AX19" i="24"/>
  <c r="AU33" i="24"/>
  <c r="AO16" i="26"/>
  <c r="AO47" i="26"/>
  <c r="AO77" i="26"/>
  <c r="AQ33" i="24"/>
  <c r="AT19" i="24"/>
  <c r="AP39" i="25"/>
  <c r="H44" i="24"/>
  <c r="AD60" i="24"/>
  <c r="AV78" i="26"/>
  <c r="AX34" i="24"/>
  <c r="AX60" i="24" s="1"/>
  <c r="AW7" i="25" s="1"/>
  <c r="AV48" i="26"/>
  <c r="AV17" i="26"/>
  <c r="BB38" i="25"/>
  <c r="BB37" i="25"/>
  <c r="BC13" i="24"/>
  <c r="BC14" i="24"/>
  <c r="BC37" i="25"/>
  <c r="BC38" i="25"/>
  <c r="BD14" i="24"/>
  <c r="BD13" i="24"/>
  <c r="BI14" i="24"/>
  <c r="BI13" i="24"/>
  <c r="BH37" i="25"/>
  <c r="BH38" i="25"/>
  <c r="I24" i="25"/>
  <c r="I23" i="25"/>
  <c r="AO35" i="24"/>
  <c r="AO61" i="24" s="1"/>
  <c r="AN8" i="25" s="1"/>
  <c r="AO20" i="24"/>
  <c r="AL59" i="24"/>
  <c r="AQ47" i="26"/>
  <c r="AS33" i="24"/>
  <c r="AQ77" i="26"/>
  <c r="AV19" i="24"/>
  <c r="AQ16" i="26"/>
  <c r="M24" i="25"/>
  <c r="M23" i="25"/>
  <c r="P24" i="25"/>
  <c r="P23" i="25"/>
  <c r="AX16" i="26"/>
  <c r="AX47" i="26"/>
  <c r="AZ33" i="24"/>
  <c r="AX77" i="26"/>
  <c r="BC19" i="24"/>
  <c r="AL56" i="26"/>
  <c r="AL49" i="26"/>
  <c r="H43" i="24"/>
  <c r="AD36" i="24"/>
  <c r="AD59" i="24"/>
  <c r="AU39" i="25"/>
  <c r="F24" i="25"/>
  <c r="F23" i="25"/>
  <c r="AH86" i="26"/>
  <c r="AH79" i="26"/>
  <c r="J24" i="25"/>
  <c r="J23" i="25"/>
  <c r="AH59" i="24"/>
  <c r="AS17" i="26"/>
  <c r="AS78" i="26"/>
  <c r="AZ27" i="24"/>
  <c r="AU34" i="24"/>
  <c r="AU60" i="24" s="1"/>
  <c r="AT7" i="25" s="1"/>
  <c r="AS48" i="26"/>
  <c r="BI38" i="25"/>
  <c r="BI37" i="25"/>
  <c r="BJ14" i="24"/>
  <c r="BJ13" i="24"/>
  <c r="BE38" i="25"/>
  <c r="BE37" i="25"/>
  <c r="BF13" i="24"/>
  <c r="BF14" i="24"/>
  <c r="AD79" i="26"/>
  <c r="AD86" i="26"/>
  <c r="AD56" i="26"/>
  <c r="AD49" i="26"/>
  <c r="AK59" i="24"/>
  <c r="X62" i="24"/>
  <c r="W6" i="25"/>
  <c r="W9" i="25" s="1"/>
  <c r="W134" i="8" s="1"/>
  <c r="AR39" i="25"/>
  <c r="AI26" i="24"/>
  <c r="AI28" i="24" s="1"/>
  <c r="AG18" i="26" s="1"/>
  <c r="AG25" i="26" s="1"/>
  <c r="AG59" i="24"/>
  <c r="AG26" i="24"/>
  <c r="AG28" i="24" s="1"/>
  <c r="AE18" i="26" s="1"/>
  <c r="AE25" i="26" s="1"/>
  <c r="AC86" i="26"/>
  <c r="AC79" i="26"/>
  <c r="V6" i="25"/>
  <c r="V9" i="25" s="1"/>
  <c r="V134" i="8" s="1"/>
  <c r="V135" i="8" s="1"/>
  <c r="W62" i="24"/>
  <c r="AY39" i="25"/>
  <c r="AN78" i="26"/>
  <c r="AP34" i="24"/>
  <c r="AN48" i="26"/>
  <c r="AU27" i="24"/>
  <c r="AN17" i="26"/>
  <c r="AR78" i="26"/>
  <c r="AT34" i="24"/>
  <c r="AT60" i="24" s="1"/>
  <c r="AS7" i="25" s="1"/>
  <c r="AR17" i="26"/>
  <c r="AY27" i="24"/>
  <c r="AR48" i="26"/>
  <c r="H9" i="25"/>
  <c r="AQ20" i="24"/>
  <c r="AQ35" i="24"/>
  <c r="AQ61" i="24" s="1"/>
  <c r="AP8" i="25" s="1"/>
  <c r="AQ26" i="24"/>
  <c r="AO59" i="24"/>
  <c r="AY48" i="26"/>
  <c r="BA34" i="24"/>
  <c r="BA60" i="24" s="1"/>
  <c r="AZ7" i="25" s="1"/>
  <c r="AY78" i="26"/>
  <c r="AY17" i="26"/>
  <c r="AT16" i="26"/>
  <c r="AT47" i="26"/>
  <c r="AV33" i="24"/>
  <c r="AY19" i="24"/>
  <c r="AT77" i="26"/>
  <c r="AW16" i="26"/>
  <c r="AW47" i="26"/>
  <c r="AY33" i="24"/>
  <c r="AW77" i="26"/>
  <c r="BB19" i="24"/>
  <c r="AX39" i="25"/>
  <c r="Y6" i="25"/>
  <c r="Y9" i="25" s="1"/>
  <c r="Y134" i="8" s="1"/>
  <c r="Y135" i="8" s="1"/>
  <c r="Z62" i="24"/>
  <c r="AB36" i="24"/>
  <c r="AJ59" i="24"/>
  <c r="AP27" i="24"/>
  <c r="G24" i="25"/>
  <c r="G23" i="25"/>
  <c r="E90" i="26"/>
  <c r="E98" i="26" s="1"/>
  <c r="AL35" i="24"/>
  <c r="AL61" i="24" s="1"/>
  <c r="AK8" i="25" s="1"/>
  <c r="AL20" i="24"/>
  <c r="AK56" i="26"/>
  <c r="AK49" i="26"/>
  <c r="Q8" i="25"/>
  <c r="AK35" i="24"/>
  <c r="AK61" i="24" s="1"/>
  <c r="AJ8" i="25" s="1"/>
  <c r="AK20" i="24"/>
  <c r="AF86" i="26"/>
  <c r="AF79" i="26"/>
  <c r="AU47" i="26"/>
  <c r="AW33" i="24"/>
  <c r="AU77" i="26"/>
  <c r="AU16" i="26"/>
  <c r="AZ19" i="24"/>
  <c r="R24" i="25"/>
  <c r="R23" i="25"/>
  <c r="AV77" i="26"/>
  <c r="AX33" i="24"/>
  <c r="AV47" i="26"/>
  <c r="AV16" i="26"/>
  <c r="BA19" i="24"/>
  <c r="BF38" i="25"/>
  <c r="BF37" i="25"/>
  <c r="BG14" i="24"/>
  <c r="BG13" i="24"/>
  <c r="BJ38" i="25"/>
  <c r="BJ37" i="25"/>
  <c r="BK13" i="24"/>
  <c r="BK14" i="24"/>
  <c r="BG38" i="25"/>
  <c r="BG37" i="25"/>
  <c r="BH14" i="24"/>
  <c r="BH13" i="24"/>
  <c r="BM14" i="24"/>
  <c r="BM13" i="24"/>
  <c r="BL38" i="25"/>
  <c r="BL37" i="25"/>
  <c r="Q7" i="25"/>
  <c r="F13" i="25" s="1"/>
  <c r="G67" i="24"/>
  <c r="E13" i="34" l="1"/>
  <c r="N134" i="8"/>
  <c r="N135" i="8" s="1"/>
  <c r="N139" i="8" s="1"/>
  <c r="N140" i="8" s="1"/>
  <c r="L134" i="8"/>
  <c r="L135" i="8" s="1"/>
  <c r="L139" i="8" s="1"/>
  <c r="L140" i="8" s="1"/>
  <c r="N128" i="8"/>
  <c r="AR28" i="24"/>
  <c r="O134" i="8"/>
  <c r="O135" i="8" s="1"/>
  <c r="O139" i="8" s="1"/>
  <c r="N120" i="8"/>
  <c r="O120" i="8"/>
  <c r="L128" i="8"/>
  <c r="O128" i="8"/>
  <c r="AQ28" i="24"/>
  <c r="AO18" i="26" s="1"/>
  <c r="AO25" i="26" s="1"/>
  <c r="L120" i="8"/>
  <c r="D11" i="34"/>
  <c r="AO36" i="24"/>
  <c r="E12" i="34"/>
  <c r="AU26" i="24"/>
  <c r="AU28" i="24" s="1"/>
  <c r="AS18" i="26" s="1"/>
  <c r="AS25" i="26" s="1"/>
  <c r="BD39" i="25"/>
  <c r="BF27" i="24"/>
  <c r="P139" i="8"/>
  <c r="H134" i="8"/>
  <c r="H135" i="8" s="1"/>
  <c r="H139" i="8" s="1"/>
  <c r="H140" i="8" s="1"/>
  <c r="H120" i="8"/>
  <c r="W135" i="8"/>
  <c r="W139" i="8" s="1"/>
  <c r="E128" i="8"/>
  <c r="E134" i="8"/>
  <c r="E120" i="8"/>
  <c r="X139" i="8"/>
  <c r="I134" i="8"/>
  <c r="I135" i="8" s="1"/>
  <c r="I139" i="8" s="1"/>
  <c r="I120" i="8"/>
  <c r="F134" i="8"/>
  <c r="F135" i="8" s="1"/>
  <c r="V139" i="8"/>
  <c r="V140" i="8" s="1"/>
  <c r="T139" i="8"/>
  <c r="T140" i="8" s="1"/>
  <c r="K134" i="8"/>
  <c r="Y139" i="8"/>
  <c r="Y140" i="8" s="1"/>
  <c r="AA139" i="8"/>
  <c r="J134" i="8"/>
  <c r="J135" i="8" s="1"/>
  <c r="J120" i="8"/>
  <c r="K128" i="8"/>
  <c r="K120" i="8"/>
  <c r="BA26" i="24"/>
  <c r="BA28" i="24" s="1"/>
  <c r="AY18" i="26" s="1"/>
  <c r="AY25" i="26" s="1"/>
  <c r="BC27" i="24"/>
  <c r="AY26" i="24"/>
  <c r="AY28" i="24" s="1"/>
  <c r="AW18" i="26" s="1"/>
  <c r="AW25" i="26" s="1"/>
  <c r="AK36" i="24"/>
  <c r="I128" i="8"/>
  <c r="AJ36" i="24"/>
  <c r="AG36" i="24"/>
  <c r="R25" i="25"/>
  <c r="R26" i="25" s="1"/>
  <c r="J128" i="8"/>
  <c r="H25" i="25"/>
  <c r="H26" i="25" s="1"/>
  <c r="BE27" i="24"/>
  <c r="AS28" i="24"/>
  <c r="AQ18" i="26" s="1"/>
  <c r="AQ25" i="26" s="1"/>
  <c r="AM36" i="24"/>
  <c r="AN36" i="24"/>
  <c r="E13" i="1"/>
  <c r="BC26" i="24"/>
  <c r="AT26" i="24"/>
  <c r="AT28" i="24" s="1"/>
  <c r="AR18" i="26" s="1"/>
  <c r="AR25" i="26" s="1"/>
  <c r="E12" i="1"/>
  <c r="D15" i="1"/>
  <c r="F19" i="1"/>
  <c r="H43" i="25"/>
  <c r="G19" i="34" s="1"/>
  <c r="AP18" i="26"/>
  <c r="AP25" i="26" s="1"/>
  <c r="BC39" i="25"/>
  <c r="BB39" i="25"/>
  <c r="S128" i="8"/>
  <c r="S120" i="8"/>
  <c r="BA39" i="25"/>
  <c r="L25" i="25"/>
  <c r="L26" i="25" s="1"/>
  <c r="O25" i="25"/>
  <c r="O26" i="25" s="1"/>
  <c r="Y128" i="8"/>
  <c r="Y120" i="8"/>
  <c r="W128" i="8"/>
  <c r="W120" i="8"/>
  <c r="F128" i="8"/>
  <c r="F120" i="8"/>
  <c r="AA128" i="8"/>
  <c r="AA120" i="8"/>
  <c r="T120" i="8"/>
  <c r="T128" i="8"/>
  <c r="H128" i="8"/>
  <c r="BG39" i="25"/>
  <c r="BF39" i="25"/>
  <c r="V128" i="8"/>
  <c r="V120" i="8"/>
  <c r="BE39" i="25"/>
  <c r="M25" i="25"/>
  <c r="M26" i="25" s="1"/>
  <c r="I25" i="25"/>
  <c r="I26" i="25" s="1"/>
  <c r="G14" i="25"/>
  <c r="BK39" i="25"/>
  <c r="X120" i="8"/>
  <c r="X128" i="8"/>
  <c r="U128" i="8"/>
  <c r="U120" i="8"/>
  <c r="AB120" i="8"/>
  <c r="AB128" i="8"/>
  <c r="N25" i="25"/>
  <c r="N26" i="25" s="1"/>
  <c r="AV86" i="26"/>
  <c r="AV79" i="26"/>
  <c r="AW56" i="26"/>
  <c r="AW49" i="26"/>
  <c r="V24" i="25"/>
  <c r="V23" i="25"/>
  <c r="BA16" i="26"/>
  <c r="BA77" i="26"/>
  <c r="BF19" i="24"/>
  <c r="BA47" i="26"/>
  <c r="BC33" i="24"/>
  <c r="BQ38" i="25"/>
  <c r="BQ37" i="25"/>
  <c r="BR14" i="24"/>
  <c r="BR13" i="24"/>
  <c r="BQ14" i="24"/>
  <c r="BQ13" i="24"/>
  <c r="BP37" i="25"/>
  <c r="BP38" i="25"/>
  <c r="AP56" i="26"/>
  <c r="AP49" i="26"/>
  <c r="AB23" i="25"/>
  <c r="AB24" i="25"/>
  <c r="Y24" i="25"/>
  <c r="Y23" i="25"/>
  <c r="BB35" i="24"/>
  <c r="BB20" i="24"/>
  <c r="H45" i="24"/>
  <c r="H46" i="24" s="1"/>
  <c r="BD78" i="26"/>
  <c r="BF34" i="24"/>
  <c r="BF60" i="24" s="1"/>
  <c r="BE7" i="25" s="1"/>
  <c r="BD48" i="26"/>
  <c r="BK27" i="24"/>
  <c r="BD17" i="26"/>
  <c r="BH78" i="26"/>
  <c r="BJ34" i="24"/>
  <c r="BJ60" i="24" s="1"/>
  <c r="BI7" i="25" s="1"/>
  <c r="BH17" i="26"/>
  <c r="BH48" i="26"/>
  <c r="AG6" i="25"/>
  <c r="AG9" i="25" s="1"/>
  <c r="AG134" i="8" s="1"/>
  <c r="AG135" i="8" s="1"/>
  <c r="AH62" i="24"/>
  <c r="BC35" i="24"/>
  <c r="BC61" i="24" s="1"/>
  <c r="BB8" i="25" s="1"/>
  <c r="BC20" i="24"/>
  <c r="AX56" i="26"/>
  <c r="AX49" i="26"/>
  <c r="AV20" i="24"/>
  <c r="AV35" i="24"/>
  <c r="AV61" i="24" s="1"/>
  <c r="AU8" i="25" s="1"/>
  <c r="BG47" i="26"/>
  <c r="BI33" i="24"/>
  <c r="BG77" i="26"/>
  <c r="BL19" i="24"/>
  <c r="BG16" i="26"/>
  <c r="BB16" i="26"/>
  <c r="BB47" i="26"/>
  <c r="BD33" i="24"/>
  <c r="BG19" i="24"/>
  <c r="BB77" i="26"/>
  <c r="H67" i="24"/>
  <c r="AC7" i="25"/>
  <c r="G13" i="25" s="1"/>
  <c r="AT35" i="24"/>
  <c r="AT61" i="24" s="1"/>
  <c r="AS8" i="25" s="1"/>
  <c r="AT20" i="24"/>
  <c r="AS56" i="26"/>
  <c r="AS49" i="26"/>
  <c r="BA59" i="24"/>
  <c r="AP28" i="24"/>
  <c r="AN18" i="26" s="1"/>
  <c r="AN25" i="26" s="1"/>
  <c r="F29" i="26"/>
  <c r="F96" i="26" s="1"/>
  <c r="S24" i="25"/>
  <c r="S23" i="25"/>
  <c r="BC48" i="26"/>
  <c r="BE34" i="24"/>
  <c r="BE60" i="24" s="1"/>
  <c r="BD7" i="25" s="1"/>
  <c r="BC78" i="26"/>
  <c r="BC17" i="26"/>
  <c r="BJ27" i="24"/>
  <c r="Q24" i="25"/>
  <c r="Q23" i="25"/>
  <c r="BR38" i="25"/>
  <c r="BR37" i="25"/>
  <c r="BS13" i="24"/>
  <c r="BS14" i="24"/>
  <c r="BO38" i="25"/>
  <c r="BP14" i="24"/>
  <c r="BP13" i="24"/>
  <c r="BO37" i="25"/>
  <c r="BU14" i="24"/>
  <c r="BU13" i="24"/>
  <c r="BT38" i="25"/>
  <c r="BT37" i="25"/>
  <c r="AP86" i="26"/>
  <c r="AP79" i="26"/>
  <c r="AA24" i="25"/>
  <c r="AA23" i="25"/>
  <c r="X24" i="25"/>
  <c r="X23" i="25"/>
  <c r="AV26" i="24"/>
  <c r="AV28" i="24" s="1"/>
  <c r="AT18" i="26" s="1"/>
  <c r="AT25" i="26" s="1"/>
  <c r="AN86" i="26"/>
  <c r="AN79" i="26"/>
  <c r="AD6" i="25"/>
  <c r="AD9" i="25" s="1"/>
  <c r="AD134" i="8" s="1"/>
  <c r="AD135" i="8" s="1"/>
  <c r="AD139" i="8" s="1"/>
  <c r="AD140" i="8" s="1"/>
  <c r="AE62" i="24"/>
  <c r="BI17" i="26"/>
  <c r="BI78" i="26"/>
  <c r="BK34" i="24"/>
  <c r="BK60" i="24" s="1"/>
  <c r="BJ7" i="25" s="1"/>
  <c r="BI48" i="26"/>
  <c r="AY35" i="24"/>
  <c r="AY20" i="24"/>
  <c r="AO56" i="26"/>
  <c r="AO49" i="26"/>
  <c r="AX35" i="24"/>
  <c r="AX61" i="24" s="1"/>
  <c r="AW8" i="25" s="1"/>
  <c r="AX20" i="24"/>
  <c r="AY86" i="26"/>
  <c r="AY79" i="26"/>
  <c r="BC47" i="26"/>
  <c r="BE33" i="24"/>
  <c r="BC77" i="26"/>
  <c r="BC16" i="26"/>
  <c r="BH19" i="24"/>
  <c r="CK7" i="24"/>
  <c r="CG7" i="24"/>
  <c r="CC7" i="24"/>
  <c r="CT4" i="24"/>
  <c r="L42" i="24"/>
  <c r="CJ7" i="24"/>
  <c r="CF7" i="24"/>
  <c r="CB7" i="24"/>
  <c r="CD7" i="24"/>
  <c r="CI7" i="24"/>
  <c r="CA7" i="24"/>
  <c r="CH7" i="24"/>
  <c r="BZ7" i="24"/>
  <c r="CE7" i="24"/>
  <c r="AZ77" i="26"/>
  <c r="BB33" i="24"/>
  <c r="BD26" i="24"/>
  <c r="AZ16" i="26"/>
  <c r="BE19" i="24"/>
  <c r="AZ47" i="26"/>
  <c r="AU35" i="24"/>
  <c r="AU20" i="24"/>
  <c r="AN62" i="24"/>
  <c r="AM6" i="25"/>
  <c r="AM9" i="25" s="1"/>
  <c r="AM134" i="8" s="1"/>
  <c r="AM135" i="8" s="1"/>
  <c r="AM139" i="8" s="1"/>
  <c r="BE16" i="26"/>
  <c r="BE47" i="26"/>
  <c r="BE77" i="26"/>
  <c r="BG33" i="24"/>
  <c r="BJ19" i="24"/>
  <c r="AV56" i="26"/>
  <c r="AV49" i="26"/>
  <c r="BK47" i="26"/>
  <c r="BM33" i="24"/>
  <c r="BK77" i="26"/>
  <c r="BK16" i="26"/>
  <c r="BP19" i="24"/>
  <c r="BF16" i="26"/>
  <c r="BF47" i="26"/>
  <c r="BH33" i="24"/>
  <c r="BF77" i="26"/>
  <c r="BK19" i="24"/>
  <c r="AX59" i="24"/>
  <c r="AZ20" i="24"/>
  <c r="AZ35" i="24"/>
  <c r="AZ61" i="24" s="1"/>
  <c r="AY8" i="25" s="1"/>
  <c r="AU56" i="26"/>
  <c r="AU49" i="26"/>
  <c r="AW86" i="26"/>
  <c r="AW79" i="26"/>
  <c r="AT79" i="26"/>
  <c r="AT86" i="26"/>
  <c r="AT56" i="26"/>
  <c r="AT49" i="26"/>
  <c r="AN6" i="25"/>
  <c r="AN9" i="25" s="1"/>
  <c r="AN134" i="8" s="1"/>
  <c r="AN135" i="8" s="1"/>
  <c r="AN139" i="8" s="1"/>
  <c r="AO62" i="24"/>
  <c r="AF6" i="25"/>
  <c r="AF9" i="25" s="1"/>
  <c r="AF134" i="8" s="1"/>
  <c r="AF135" i="8" s="1"/>
  <c r="AG62" i="24"/>
  <c r="BD77" i="26"/>
  <c r="BD47" i="26"/>
  <c r="BF33" i="24"/>
  <c r="BD16" i="26"/>
  <c r="BI19" i="24"/>
  <c r="BI39" i="25"/>
  <c r="AH36" i="24"/>
  <c r="AC6" i="25"/>
  <c r="AD62" i="24"/>
  <c r="H66" i="24"/>
  <c r="AX86" i="26"/>
  <c r="AX79" i="26"/>
  <c r="AQ86" i="26"/>
  <c r="AQ79" i="26"/>
  <c r="AK6" i="25"/>
  <c r="AK9" i="25" s="1"/>
  <c r="AK134" i="8" s="1"/>
  <c r="AK135" i="8" s="1"/>
  <c r="AK139" i="8" s="1"/>
  <c r="AK140" i="8" s="1"/>
  <c r="AL62" i="24"/>
  <c r="BG48" i="26"/>
  <c r="BI34" i="24"/>
  <c r="BI60" i="24" s="1"/>
  <c r="BH7" i="25" s="1"/>
  <c r="BG78" i="26"/>
  <c r="BG17" i="26"/>
  <c r="BB17" i="26"/>
  <c r="BB48" i="26"/>
  <c r="BD34" i="24"/>
  <c r="BD60" i="24" s="1"/>
  <c r="BC7" i="25" s="1"/>
  <c r="BB78" i="26"/>
  <c r="BI27" i="24"/>
  <c r="AQ36" i="24"/>
  <c r="AQ59" i="24"/>
  <c r="AU59" i="24"/>
  <c r="AS86" i="26"/>
  <c r="AS79" i="26"/>
  <c r="AY56" i="26"/>
  <c r="AY49" i="26"/>
  <c r="F60" i="26"/>
  <c r="F97" i="26" s="1"/>
  <c r="E15" i="25"/>
  <c r="D17" i="34" s="1"/>
  <c r="E99" i="26"/>
  <c r="E15" i="34" s="1"/>
  <c r="AH6" i="25"/>
  <c r="AH9" i="25" s="1"/>
  <c r="AH134" i="8" s="1"/>
  <c r="AH135" i="8" s="1"/>
  <c r="AH139" i="8" s="1"/>
  <c r="AH140" i="8" s="1"/>
  <c r="AI62" i="24"/>
  <c r="Z8" i="25"/>
  <c r="Z9" i="25" s="1"/>
  <c r="Z134" i="8" s="1"/>
  <c r="Z135" i="8" s="1"/>
  <c r="Z139" i="8" s="1"/>
  <c r="Z140" i="8" s="1"/>
  <c r="AA62" i="24"/>
  <c r="F12" i="25"/>
  <c r="Q9" i="25"/>
  <c r="Q134" i="8" s="1"/>
  <c r="BJ16" i="26"/>
  <c r="BJ47" i="26"/>
  <c r="BL33" i="24"/>
  <c r="BO19" i="24"/>
  <c r="BJ77" i="26"/>
  <c r="BN38" i="25"/>
  <c r="BN37" i="25"/>
  <c r="BO14" i="24"/>
  <c r="BO13" i="24"/>
  <c r="BM38" i="25"/>
  <c r="BM37" i="25"/>
  <c r="BN13" i="24"/>
  <c r="BN14" i="24"/>
  <c r="BN27" i="24" s="1"/>
  <c r="BN8" i="24"/>
  <c r="BO8" i="24" s="1"/>
  <c r="BP8" i="24" s="1"/>
  <c r="BQ8" i="24" s="1"/>
  <c r="BR8" i="24" s="1"/>
  <c r="BS8" i="24" s="1"/>
  <c r="BT8" i="24" s="1"/>
  <c r="BU8" i="24" s="1"/>
  <c r="BV8" i="24" s="1"/>
  <c r="BW8" i="24" s="1"/>
  <c r="BX8" i="24" s="1"/>
  <c r="BY8" i="24" s="1"/>
  <c r="BS37" i="25"/>
  <c r="BS38" i="25"/>
  <c r="BT14" i="24"/>
  <c r="BT13" i="24"/>
  <c r="BY14" i="24"/>
  <c r="BY13" i="24"/>
  <c r="BX37" i="25"/>
  <c r="BX38" i="25"/>
  <c r="AZ78" i="26"/>
  <c r="AZ17" i="26"/>
  <c r="BG27" i="24"/>
  <c r="BB34" i="24"/>
  <c r="AZ48" i="26"/>
  <c r="BB27" i="24"/>
  <c r="AR56" i="26"/>
  <c r="AR49" i="26"/>
  <c r="AT59" i="24"/>
  <c r="AP36" i="24"/>
  <c r="I43" i="24"/>
  <c r="AP59" i="24"/>
  <c r="T24" i="25"/>
  <c r="T23" i="25"/>
  <c r="AU86" i="26"/>
  <c r="AU79" i="26"/>
  <c r="AZ59" i="24"/>
  <c r="AQ56" i="26"/>
  <c r="AQ49" i="26"/>
  <c r="AP61" i="24"/>
  <c r="F90" i="26"/>
  <c r="F98" i="26" s="1"/>
  <c r="AL6" i="25"/>
  <c r="AL9" i="25" s="1"/>
  <c r="AL134" i="8" s="1"/>
  <c r="AL135" i="8" s="1"/>
  <c r="AL139" i="8" s="1"/>
  <c r="AL140" i="8" s="1"/>
  <c r="AM62" i="24"/>
  <c r="AS35" i="24"/>
  <c r="AS61" i="24" s="1"/>
  <c r="AR8" i="25" s="1"/>
  <c r="AS20" i="24"/>
  <c r="BI16" i="26"/>
  <c r="BI77" i="26"/>
  <c r="BI47" i="26"/>
  <c r="BN19" i="24"/>
  <c r="BK33" i="24"/>
  <c r="AW59" i="24"/>
  <c r="AV59" i="24"/>
  <c r="BL39" i="25"/>
  <c r="BK48" i="26"/>
  <c r="BM34" i="24"/>
  <c r="BM60" i="24" s="1"/>
  <c r="BL7" i="25" s="1"/>
  <c r="BK78" i="26"/>
  <c r="BK17" i="26"/>
  <c r="BF17" i="26"/>
  <c r="BF48" i="26"/>
  <c r="BH34" i="24"/>
  <c r="BH60" i="24" s="1"/>
  <c r="BG7" i="25" s="1"/>
  <c r="BF78" i="26"/>
  <c r="BM27" i="24"/>
  <c r="BJ39" i="25"/>
  <c r="BE17" i="26"/>
  <c r="BE48" i="26"/>
  <c r="BL27" i="24"/>
  <c r="BE78" i="26"/>
  <c r="BG34" i="24"/>
  <c r="BG60" i="24" s="1"/>
  <c r="BF7" i="25" s="1"/>
  <c r="BA35" i="24"/>
  <c r="BA61" i="24" s="1"/>
  <c r="AZ8" i="25" s="1"/>
  <c r="BA20" i="24"/>
  <c r="AZ26" i="24"/>
  <c r="AZ28" i="24" s="1"/>
  <c r="AX18" i="26" s="1"/>
  <c r="AX25" i="26" s="1"/>
  <c r="G25" i="25"/>
  <c r="G26" i="25" s="1"/>
  <c r="AI6" i="25"/>
  <c r="AI9" i="25" s="1"/>
  <c r="AI134" i="8" s="1"/>
  <c r="AJ62" i="24"/>
  <c r="AY59" i="24"/>
  <c r="AX26" i="24"/>
  <c r="AX28" i="24" s="1"/>
  <c r="AV18" i="26" s="1"/>
  <c r="AV25" i="26" s="1"/>
  <c r="I44" i="24"/>
  <c r="AP60" i="24"/>
  <c r="W24" i="25"/>
  <c r="W23" i="25"/>
  <c r="AK62" i="24"/>
  <c r="AJ6" i="25"/>
  <c r="AJ9" i="25" s="1"/>
  <c r="AJ134" i="8" s="1"/>
  <c r="AJ135" i="8" s="1"/>
  <c r="BH77" i="26"/>
  <c r="BJ33" i="24"/>
  <c r="BH16" i="26"/>
  <c r="BH47" i="26"/>
  <c r="BM19" i="24"/>
  <c r="J25" i="25"/>
  <c r="J26" i="25" s="1"/>
  <c r="F25" i="25"/>
  <c r="F26" i="25" s="1"/>
  <c r="BB26" i="24"/>
  <c r="BB28" i="24" s="1"/>
  <c r="P25" i="25"/>
  <c r="P26" i="25" s="1"/>
  <c r="AS59" i="24"/>
  <c r="AL36" i="24"/>
  <c r="BH39" i="25"/>
  <c r="BA17" i="26"/>
  <c r="BA78" i="26"/>
  <c r="BH27" i="24"/>
  <c r="BA48" i="26"/>
  <c r="BC34" i="24"/>
  <c r="BC60" i="24" s="1"/>
  <c r="BB7" i="25" s="1"/>
  <c r="AO86" i="26"/>
  <c r="AO79" i="26"/>
  <c r="AW26" i="24"/>
  <c r="AW28" i="24" s="1"/>
  <c r="AU18" i="26" s="1"/>
  <c r="AU25" i="26" s="1"/>
  <c r="BD20" i="24"/>
  <c r="BD35" i="24"/>
  <c r="BD61" i="24" s="1"/>
  <c r="BC8" i="25" s="1"/>
  <c r="H68" i="24"/>
  <c r="AE6" i="25"/>
  <c r="AE9" i="25" s="1"/>
  <c r="AE134" i="8" s="1"/>
  <c r="AE135" i="8" s="1"/>
  <c r="AF62" i="24"/>
  <c r="AI36" i="24"/>
  <c r="BD27" i="24"/>
  <c r="G69" i="24"/>
  <c r="BJ17" i="26"/>
  <c r="BJ48" i="26"/>
  <c r="BL34" i="24"/>
  <c r="BL60" i="24" s="1"/>
  <c r="BK7" i="25" s="1"/>
  <c r="BJ78" i="26"/>
  <c r="BV38" i="25"/>
  <c r="BV37" i="25"/>
  <c r="BW14" i="24"/>
  <c r="BW13" i="24"/>
  <c r="BU38" i="25"/>
  <c r="BU37" i="25"/>
  <c r="BV13" i="24"/>
  <c r="BV14" i="24"/>
  <c r="BW38" i="25"/>
  <c r="BW37" i="25"/>
  <c r="BX14" i="24"/>
  <c r="BX13" i="24"/>
  <c r="AR59" i="24"/>
  <c r="AR36" i="24"/>
  <c r="K25" i="25"/>
  <c r="K26" i="25" s="1"/>
  <c r="U24" i="25"/>
  <c r="U23" i="25"/>
  <c r="E25" i="25"/>
  <c r="E26" i="25" s="1"/>
  <c r="AW35" i="24"/>
  <c r="AW61" i="24" s="1"/>
  <c r="AV8" i="25" s="1"/>
  <c r="AW20" i="24"/>
  <c r="AR86" i="26"/>
  <c r="AR79" i="26"/>
  <c r="AN56" i="26"/>
  <c r="AN49" i="26"/>
  <c r="F13" i="34" l="1"/>
  <c r="F12" i="34"/>
  <c r="BC28" i="24"/>
  <c r="BA18" i="26" s="1"/>
  <c r="BA25" i="26" s="1"/>
  <c r="BO26" i="24"/>
  <c r="E11" i="34"/>
  <c r="BJ26" i="24"/>
  <c r="BJ28" i="24" s="1"/>
  <c r="BH18" i="26" s="1"/>
  <c r="BH25" i="26" s="1"/>
  <c r="BL26" i="24"/>
  <c r="BL28" i="24" s="1"/>
  <c r="BJ18" i="26" s="1"/>
  <c r="BJ25" i="26" s="1"/>
  <c r="AB136" i="8"/>
  <c r="AB140" i="8" s="1"/>
  <c r="F139" i="8"/>
  <c r="F140" i="8" s="1"/>
  <c r="AE139" i="8"/>
  <c r="AE140" i="8" s="1"/>
  <c r="AJ139" i="8"/>
  <c r="J139" i="8"/>
  <c r="J140" i="8" s="1"/>
  <c r="AF139" i="8"/>
  <c r="AF140" i="8" s="1"/>
  <c r="K136" i="8"/>
  <c r="I137" i="8" s="1"/>
  <c r="I140" i="8" s="1"/>
  <c r="E135" i="8"/>
  <c r="AN136" i="8"/>
  <c r="AN140" i="8" s="1"/>
  <c r="AI135" i="8"/>
  <c r="AI139" i="8" s="1"/>
  <c r="Q135" i="8"/>
  <c r="Q139" i="8" s="1"/>
  <c r="Q140" i="8" s="1"/>
  <c r="X138" i="8"/>
  <c r="X140" i="8" s="1"/>
  <c r="W136" i="8"/>
  <c r="U137" i="8" s="1"/>
  <c r="U140" i="8" s="1"/>
  <c r="AG139" i="8"/>
  <c r="K135" i="8"/>
  <c r="P136" i="8"/>
  <c r="P140" i="8" s="1"/>
  <c r="BH26" i="24"/>
  <c r="BH28" i="24" s="1"/>
  <c r="BF18" i="26" s="1"/>
  <c r="BF25" i="26" s="1"/>
  <c r="AV36" i="24"/>
  <c r="AT36" i="24"/>
  <c r="AX36" i="24"/>
  <c r="F13" i="1"/>
  <c r="AS36" i="24"/>
  <c r="BN26" i="24"/>
  <c r="BN28" i="24" s="1"/>
  <c r="W25" i="25"/>
  <c r="W26" i="25" s="1"/>
  <c r="AZ36" i="24"/>
  <c r="T25" i="25"/>
  <c r="T26" i="25" s="1"/>
  <c r="S25" i="25"/>
  <c r="S26" i="25" s="1"/>
  <c r="BT39" i="25"/>
  <c r="I43" i="25"/>
  <c r="H19" i="34" s="1"/>
  <c r="D17" i="1"/>
  <c r="BO39" i="25"/>
  <c r="G19" i="1"/>
  <c r="BM39" i="25"/>
  <c r="H69" i="24"/>
  <c r="F12" i="1"/>
  <c r="V25" i="25"/>
  <c r="V26" i="25" s="1"/>
  <c r="AZ18" i="26"/>
  <c r="AZ25" i="26" s="1"/>
  <c r="AA25" i="25"/>
  <c r="AA26" i="25" s="1"/>
  <c r="E15" i="1"/>
  <c r="E11" i="1" s="1"/>
  <c r="F99" i="26"/>
  <c r="F15" i="34" s="1"/>
  <c r="X25" i="25"/>
  <c r="X26" i="25" s="1"/>
  <c r="AD128" i="8"/>
  <c r="AD120" i="8"/>
  <c r="AG128" i="8"/>
  <c r="AG120" i="8"/>
  <c r="AE128" i="8"/>
  <c r="AE120" i="8"/>
  <c r="AJ120" i="8"/>
  <c r="AJ128" i="8"/>
  <c r="AI128" i="8"/>
  <c r="AI120" i="8"/>
  <c r="AL128" i="8"/>
  <c r="AL120" i="8"/>
  <c r="Z128" i="8"/>
  <c r="Z120" i="8"/>
  <c r="AF120" i="8"/>
  <c r="AF128" i="8"/>
  <c r="BR39" i="25"/>
  <c r="AN120" i="8"/>
  <c r="AN128" i="8"/>
  <c r="BV39" i="25"/>
  <c r="Q128" i="8"/>
  <c r="Q120" i="8"/>
  <c r="AH128" i="8"/>
  <c r="AH120" i="8"/>
  <c r="AK128" i="8"/>
  <c r="AK120" i="8"/>
  <c r="AM128" i="8"/>
  <c r="AM120" i="8"/>
  <c r="Q25" i="25"/>
  <c r="Q26" i="25" s="1"/>
  <c r="Y25" i="25"/>
  <c r="Y26" i="25" s="1"/>
  <c r="BU16" i="26"/>
  <c r="BU47" i="26"/>
  <c r="BU77" i="26"/>
  <c r="BW33" i="24"/>
  <c r="BZ19" i="24"/>
  <c r="AU6" i="25"/>
  <c r="AU9" i="25" s="1"/>
  <c r="AU134" i="8" s="1"/>
  <c r="AV62" i="24"/>
  <c r="J44" i="24"/>
  <c r="BB60" i="24"/>
  <c r="AK24" i="25"/>
  <c r="AK23" i="25"/>
  <c r="BB36" i="24"/>
  <c r="J43" i="24"/>
  <c r="BB59" i="24"/>
  <c r="CG38" i="25"/>
  <c r="CG37" i="25"/>
  <c r="CH14" i="24"/>
  <c r="CH13" i="24"/>
  <c r="CW7" i="24"/>
  <c r="CS7" i="24"/>
  <c r="CO7" i="24"/>
  <c r="M42" i="24"/>
  <c r="CV7" i="24"/>
  <c r="CR7" i="24"/>
  <c r="CN7" i="24"/>
  <c r="CT7" i="24"/>
  <c r="CL7" i="24"/>
  <c r="CQ7" i="24"/>
  <c r="CP7" i="24"/>
  <c r="CU7" i="24"/>
  <c r="CM7" i="24"/>
  <c r="DF4" i="24"/>
  <c r="BT77" i="26"/>
  <c r="BT47" i="26"/>
  <c r="BV33" i="24"/>
  <c r="BT16" i="26"/>
  <c r="BY19" i="24"/>
  <c r="BK59" i="24"/>
  <c r="AO8" i="25"/>
  <c r="BR17" i="26"/>
  <c r="BR48" i="26"/>
  <c r="BT34" i="24"/>
  <c r="BT60" i="24" s="1"/>
  <c r="BS7" i="25" s="1"/>
  <c r="BY27" i="24"/>
  <c r="BR78" i="26"/>
  <c r="BM17" i="26"/>
  <c r="BM48" i="26"/>
  <c r="BT27" i="24"/>
  <c r="BM78" i="26"/>
  <c r="BO34" i="24"/>
  <c r="BO60" i="24" s="1"/>
  <c r="BN7" i="25" s="1"/>
  <c r="BR27" i="24"/>
  <c r="BQ27" i="24"/>
  <c r="BO27" i="24"/>
  <c r="F15" i="25"/>
  <c r="E17" i="34" s="1"/>
  <c r="AU61" i="24"/>
  <c r="AT8" i="25" s="1"/>
  <c r="AU36" i="24"/>
  <c r="BD56" i="26"/>
  <c r="BD49" i="26"/>
  <c r="AW6" i="25"/>
  <c r="AW9" i="25" s="1"/>
  <c r="AW134" i="8" s="1"/>
  <c r="AW135" i="8" s="1"/>
  <c r="AW139" i="8" s="1"/>
  <c r="AW140" i="8" s="1"/>
  <c r="AX62" i="24"/>
  <c r="BM59" i="24"/>
  <c r="BC86" i="26"/>
  <c r="BC79" i="26"/>
  <c r="BP27" i="24"/>
  <c r="BW39" i="25"/>
  <c r="AI24" i="25"/>
  <c r="AI23" i="25"/>
  <c r="BN35" i="24"/>
  <c r="BN20" i="24"/>
  <c r="BW47" i="26"/>
  <c r="BY33" i="24"/>
  <c r="BW77" i="26"/>
  <c r="CB19" i="24"/>
  <c r="BW16" i="26"/>
  <c r="BL59" i="24"/>
  <c r="BI35" i="24"/>
  <c r="BI61" i="24" s="1"/>
  <c r="BH8" i="25" s="1"/>
  <c r="BI20" i="24"/>
  <c r="BK26" i="24"/>
  <c r="BK28" i="24" s="1"/>
  <c r="BI18" i="26" s="1"/>
  <c r="BI25" i="26" s="1"/>
  <c r="BI26" i="24"/>
  <c r="BI28" i="24" s="1"/>
  <c r="BG18" i="26" s="1"/>
  <c r="BG25" i="26" s="1"/>
  <c r="BH59" i="24"/>
  <c r="BP20" i="24"/>
  <c r="BP35" i="24"/>
  <c r="BP61" i="24" s="1"/>
  <c r="BO8" i="25" s="1"/>
  <c r="BK56" i="26"/>
  <c r="BK49" i="26"/>
  <c r="AY61" i="24"/>
  <c r="AX8" i="25" s="1"/>
  <c r="AY36" i="24"/>
  <c r="AD24" i="25"/>
  <c r="AD23" i="25"/>
  <c r="BS47" i="26"/>
  <c r="BU33" i="24"/>
  <c r="BS77" i="26"/>
  <c r="BS16" i="26"/>
  <c r="BX19" i="24"/>
  <c r="BN16" i="26"/>
  <c r="BN47" i="26"/>
  <c r="BP33" i="24"/>
  <c r="BN77" i="26"/>
  <c r="BS19" i="24"/>
  <c r="BT78" i="26"/>
  <c r="BV34" i="24"/>
  <c r="BV60" i="24" s="1"/>
  <c r="BU7" i="25" s="1"/>
  <c r="BT48" i="26"/>
  <c r="BT17" i="26"/>
  <c r="AR6" i="25"/>
  <c r="AR9" i="25" s="1"/>
  <c r="AR134" i="8" s="1"/>
  <c r="AR135" i="8" s="1"/>
  <c r="AR139" i="8" s="1"/>
  <c r="AR140" i="8" s="1"/>
  <c r="AS62" i="24"/>
  <c r="AV6" i="25"/>
  <c r="AV9" i="25" s="1"/>
  <c r="AV134" i="8" s="1"/>
  <c r="AV135" i="8" s="1"/>
  <c r="AV139" i="8" s="1"/>
  <c r="AW62" i="24"/>
  <c r="BR16" i="26"/>
  <c r="BR47" i="26"/>
  <c r="BT33" i="24"/>
  <c r="BW19" i="24"/>
  <c r="BR77" i="26"/>
  <c r="BJ79" i="26"/>
  <c r="BJ86" i="26"/>
  <c r="BE86" i="26"/>
  <c r="BE79" i="26"/>
  <c r="AZ56" i="26"/>
  <c r="AZ49" i="26"/>
  <c r="CA37" i="25"/>
  <c r="CB14" i="24"/>
  <c r="CB13" i="24"/>
  <c r="CA38" i="25"/>
  <c r="AP6" i="25"/>
  <c r="AP9" i="25" s="1"/>
  <c r="AP134" i="8" s="1"/>
  <c r="AP135" i="8" s="1"/>
  <c r="AQ62" i="24"/>
  <c r="U25" i="25"/>
  <c r="U26" i="25" s="1"/>
  <c r="AE23" i="25"/>
  <c r="AE24" i="25"/>
  <c r="BH56" i="26"/>
  <c r="BH49" i="26"/>
  <c r="BH86" i="26"/>
  <c r="BH79" i="26"/>
  <c r="AJ23" i="25"/>
  <c r="AJ24" i="25"/>
  <c r="AL24" i="25"/>
  <c r="AL23" i="25"/>
  <c r="AY6" i="25"/>
  <c r="AY9" i="25" s="1"/>
  <c r="AY134" i="8" s="1"/>
  <c r="AY135" i="8" s="1"/>
  <c r="AZ62" i="24"/>
  <c r="BW48" i="26"/>
  <c r="BY34" i="24"/>
  <c r="BY60" i="24" s="1"/>
  <c r="BX7" i="25" s="1"/>
  <c r="BW78" i="26"/>
  <c r="BW17" i="26"/>
  <c r="BJ56" i="26"/>
  <c r="BJ49" i="26"/>
  <c r="AH24" i="25"/>
  <c r="AH23" i="25"/>
  <c r="BG59" i="24"/>
  <c r="BD28" i="24"/>
  <c r="BB18" i="26" s="1"/>
  <c r="BB25" i="26" s="1"/>
  <c r="BY38" i="25"/>
  <c r="BY37" i="25"/>
  <c r="BZ14" i="24"/>
  <c r="BZ8" i="24"/>
  <c r="CA8" i="24" s="1"/>
  <c r="CB8" i="24" s="1"/>
  <c r="CC8" i="24" s="1"/>
  <c r="CD8" i="24" s="1"/>
  <c r="CE8" i="24" s="1"/>
  <c r="CF8" i="24" s="1"/>
  <c r="CG8" i="24" s="1"/>
  <c r="CH8" i="24" s="1"/>
  <c r="CI8" i="24" s="1"/>
  <c r="CJ8" i="24" s="1"/>
  <c r="CK8" i="24" s="1"/>
  <c r="BZ13" i="24"/>
  <c r="CC38" i="25"/>
  <c r="CC37" i="25"/>
  <c r="CD13" i="24"/>
  <c r="CD14" i="24"/>
  <c r="CK14" i="24"/>
  <c r="CK13" i="24"/>
  <c r="CJ38" i="25"/>
  <c r="CJ37" i="25"/>
  <c r="BS48" i="26"/>
  <c r="BU34" i="24"/>
  <c r="BU60" i="24" s="1"/>
  <c r="BT7" i="25" s="1"/>
  <c r="BS78" i="26"/>
  <c r="BS17" i="26"/>
  <c r="G29" i="26"/>
  <c r="G96" i="26" s="1"/>
  <c r="BG56" i="26"/>
  <c r="BG49" i="26"/>
  <c r="BO48" i="26"/>
  <c r="BQ34" i="24"/>
  <c r="BQ60" i="24" s="1"/>
  <c r="BP7" i="25" s="1"/>
  <c r="BO78" i="26"/>
  <c r="BV27" i="24"/>
  <c r="BO17" i="26"/>
  <c r="BC36" i="24"/>
  <c r="BC59" i="24"/>
  <c r="AQ6" i="25"/>
  <c r="AQ9" i="25" s="1"/>
  <c r="AQ134" i="8" s="1"/>
  <c r="AQ135" i="8" s="1"/>
  <c r="AQ139" i="8" s="1"/>
  <c r="AQ140" i="8" s="1"/>
  <c r="AR62" i="24"/>
  <c r="BV16" i="26"/>
  <c r="BV47" i="26"/>
  <c r="BX33" i="24"/>
  <c r="BV77" i="26"/>
  <c r="CA19" i="24"/>
  <c r="AO7" i="25"/>
  <c r="H13" i="25" s="1"/>
  <c r="I67" i="24"/>
  <c r="AX6" i="25"/>
  <c r="AW36" i="24"/>
  <c r="BI56" i="26"/>
  <c r="BI49" i="26"/>
  <c r="I45" i="24"/>
  <c r="I46" i="24" s="1"/>
  <c r="AS6" i="25"/>
  <c r="AS9" i="25" s="1"/>
  <c r="AS134" i="8" s="1"/>
  <c r="AS135" i="8" s="1"/>
  <c r="AS139" i="8" s="1"/>
  <c r="AT62" i="24"/>
  <c r="BX39" i="25"/>
  <c r="BL78" i="26"/>
  <c r="BN34" i="24"/>
  <c r="BL48" i="26"/>
  <c r="BS27" i="24"/>
  <c r="BL17" i="26"/>
  <c r="Z24" i="25"/>
  <c r="Z23" i="25"/>
  <c r="AT6" i="25"/>
  <c r="AC24" i="25"/>
  <c r="AC23" i="25"/>
  <c r="BD86" i="26"/>
  <c r="BD79" i="26"/>
  <c r="BK35" i="24"/>
  <c r="BK61" i="24" s="1"/>
  <c r="BJ8" i="25" s="1"/>
  <c r="BK20" i="24"/>
  <c r="BF56" i="26"/>
  <c r="BF49" i="26"/>
  <c r="BE56" i="26"/>
  <c r="BE49" i="26"/>
  <c r="AM24" i="25"/>
  <c r="AM23" i="25"/>
  <c r="BE35" i="24"/>
  <c r="BE61" i="24" s="1"/>
  <c r="BD8" i="25" s="1"/>
  <c r="BE20" i="24"/>
  <c r="AZ86" i="26"/>
  <c r="AZ79" i="26"/>
  <c r="BZ38" i="25"/>
  <c r="BZ37" i="25"/>
  <c r="CA13" i="24"/>
  <c r="CA14" i="24"/>
  <c r="CE38" i="25"/>
  <c r="CF14" i="24"/>
  <c r="CF13" i="24"/>
  <c r="CE37" i="25"/>
  <c r="CC14" i="24"/>
  <c r="CC13" i="24"/>
  <c r="CB38" i="25"/>
  <c r="CB37" i="25"/>
  <c r="BG26" i="24"/>
  <c r="BG28" i="24" s="1"/>
  <c r="BE18" i="26" s="1"/>
  <c r="BE25" i="26" s="1"/>
  <c r="BE59" i="24"/>
  <c r="BN17" i="26"/>
  <c r="BN48" i="26"/>
  <c r="BP34" i="24"/>
  <c r="BP60" i="24" s="1"/>
  <c r="BO7" i="25" s="1"/>
  <c r="BN78" i="26"/>
  <c r="BU27" i="24"/>
  <c r="BQ17" i="26"/>
  <c r="BQ78" i="26"/>
  <c r="BX27" i="24"/>
  <c r="BQ48" i="26"/>
  <c r="BS34" i="24"/>
  <c r="BS60" i="24" s="1"/>
  <c r="BR7" i="25" s="1"/>
  <c r="AZ6" i="25"/>
  <c r="AZ9" i="25" s="1"/>
  <c r="AZ134" i="8" s="1"/>
  <c r="AZ135" i="8" s="1"/>
  <c r="AZ139" i="8" s="1"/>
  <c r="BA62" i="24"/>
  <c r="BB79" i="26"/>
  <c r="BB86" i="26"/>
  <c r="BB56" i="26"/>
  <c r="BB49" i="26"/>
  <c r="BL20" i="24"/>
  <c r="BL35" i="24"/>
  <c r="BL61" i="24" s="1"/>
  <c r="BK8" i="25" s="1"/>
  <c r="AG24" i="25"/>
  <c r="AG23" i="25"/>
  <c r="BB61" i="24"/>
  <c r="AB25" i="25"/>
  <c r="AB26" i="25" s="1"/>
  <c r="BP39" i="25"/>
  <c r="BP78" i="26"/>
  <c r="BP17" i="26"/>
  <c r="BW27" i="24"/>
  <c r="BR34" i="24"/>
  <c r="BR60" i="24" s="1"/>
  <c r="BQ7" i="25" s="1"/>
  <c r="BP48" i="26"/>
  <c r="BA56" i="26"/>
  <c r="BA49" i="26"/>
  <c r="BD36" i="24"/>
  <c r="BD59" i="24"/>
  <c r="G60" i="26"/>
  <c r="G97" i="26" s="1"/>
  <c r="E29" i="25"/>
  <c r="E30" i="25" s="1"/>
  <c r="D18" i="34" s="1"/>
  <c r="D16" i="34" s="1"/>
  <c r="D20" i="34" s="1"/>
  <c r="D21" i="34" s="1"/>
  <c r="BV17" i="26"/>
  <c r="BV48" i="26"/>
  <c r="BX34" i="24"/>
  <c r="BX60" i="24" s="1"/>
  <c r="BW7" i="25" s="1"/>
  <c r="BV78" i="26"/>
  <c r="BU39" i="25"/>
  <c r="BU17" i="26"/>
  <c r="BU48" i="26"/>
  <c r="BU78" i="26"/>
  <c r="BW34" i="24"/>
  <c r="BW60" i="24" s="1"/>
  <c r="BV7" i="25" s="1"/>
  <c r="BM35" i="24"/>
  <c r="BM61" i="24" s="1"/>
  <c r="BL8" i="25" s="1"/>
  <c r="BM20" i="24"/>
  <c r="BJ59" i="24"/>
  <c r="BM26" i="24"/>
  <c r="BM28" i="24" s="1"/>
  <c r="BK18" i="26" s="1"/>
  <c r="BK25" i="26" s="1"/>
  <c r="BI86" i="26"/>
  <c r="BI79" i="26"/>
  <c r="AO6" i="25"/>
  <c r="AP62" i="24"/>
  <c r="I66" i="24"/>
  <c r="BS39" i="25"/>
  <c r="BL77" i="26"/>
  <c r="BP26" i="24"/>
  <c r="BN33" i="24"/>
  <c r="BL47" i="26"/>
  <c r="BQ19" i="24"/>
  <c r="BQ26" i="24" s="1"/>
  <c r="BL16" i="26"/>
  <c r="BM16" i="26"/>
  <c r="BM47" i="26"/>
  <c r="BO33" i="24"/>
  <c r="BM77" i="26"/>
  <c r="BR19" i="24"/>
  <c r="BN39" i="25"/>
  <c r="BO35" i="24"/>
  <c r="BO61" i="24" s="1"/>
  <c r="BN8" i="25" s="1"/>
  <c r="BO20" i="24"/>
  <c r="AC9" i="25"/>
  <c r="AC134" i="8" s="1"/>
  <c r="G12" i="25"/>
  <c r="BF59" i="24"/>
  <c r="AF24" i="25"/>
  <c r="AF23" i="25"/>
  <c r="AN24" i="25"/>
  <c r="AN23" i="25"/>
  <c r="BF86" i="26"/>
  <c r="BF79" i="26"/>
  <c r="BK86" i="26"/>
  <c r="BK79" i="26"/>
  <c r="BJ35" i="24"/>
  <c r="BJ61" i="24" s="1"/>
  <c r="BI8" i="25" s="1"/>
  <c r="BJ20" i="24"/>
  <c r="CD38" i="25"/>
  <c r="CD37" i="25"/>
  <c r="CE14" i="24"/>
  <c r="CE13" i="24"/>
  <c r="CH38" i="25"/>
  <c r="CH37" i="25"/>
  <c r="CI13" i="24"/>
  <c r="CI14" i="24"/>
  <c r="CI37" i="25"/>
  <c r="CI38" i="25"/>
  <c r="CJ14" i="24"/>
  <c r="CJ13" i="24"/>
  <c r="CG14" i="24"/>
  <c r="CG13" i="24"/>
  <c r="CF37" i="25"/>
  <c r="CF38" i="25"/>
  <c r="BH20" i="24"/>
  <c r="BH35" i="24"/>
  <c r="BH61" i="24" s="1"/>
  <c r="BG8" i="25" s="1"/>
  <c r="BC56" i="26"/>
  <c r="BC49" i="26"/>
  <c r="G90" i="26"/>
  <c r="G98" i="26" s="1"/>
  <c r="BQ16" i="26"/>
  <c r="BQ77" i="26"/>
  <c r="BV19" i="24"/>
  <c r="BQ47" i="26"/>
  <c r="BS33" i="24"/>
  <c r="BA36" i="24"/>
  <c r="BF26" i="24"/>
  <c r="BF28" i="24" s="1"/>
  <c r="BD18" i="26" s="1"/>
  <c r="BD25" i="26" s="1"/>
  <c r="BG86" i="26"/>
  <c r="BG79" i="26"/>
  <c r="BP77" i="26"/>
  <c r="BR33" i="24"/>
  <c r="BP16" i="26"/>
  <c r="BP47" i="26"/>
  <c r="BU19" i="24"/>
  <c r="BQ39" i="25"/>
  <c r="BF35" i="24"/>
  <c r="BF61" i="24" s="1"/>
  <c r="BE8" i="25" s="1"/>
  <c r="BF20" i="24"/>
  <c r="F14" i="25"/>
  <c r="BG20" i="24"/>
  <c r="BG35" i="24"/>
  <c r="BG61" i="24" s="1"/>
  <c r="BF8" i="25" s="1"/>
  <c r="BI59" i="24"/>
  <c r="BO47" i="26"/>
  <c r="BQ33" i="24"/>
  <c r="BO77" i="26"/>
  <c r="BT19" i="24"/>
  <c r="BO16" i="26"/>
  <c r="BE26" i="24"/>
  <c r="BE28" i="24" s="1"/>
  <c r="BC18" i="26" s="1"/>
  <c r="BC25" i="26" s="1"/>
  <c r="BA86" i="26"/>
  <c r="BA79" i="26"/>
  <c r="F11" i="34" l="1"/>
  <c r="BO28" i="24"/>
  <c r="BQ28" i="24"/>
  <c r="BO18" i="26" s="1"/>
  <c r="BO25" i="26" s="1"/>
  <c r="H19" i="1"/>
  <c r="BS26" i="24"/>
  <c r="BS28" i="24" s="1"/>
  <c r="BQ18" i="26" s="1"/>
  <c r="BQ25" i="26" s="1"/>
  <c r="G12" i="34"/>
  <c r="CC27" i="24"/>
  <c r="BZ26" i="24"/>
  <c r="AM137" i="8"/>
  <c r="AM140" i="8" s="1"/>
  <c r="AA137" i="8"/>
  <c r="AA140" i="8" s="1"/>
  <c r="AY139" i="8"/>
  <c r="O137" i="8"/>
  <c r="O140" i="8" s="1"/>
  <c r="E139" i="8"/>
  <c r="E140" i="8" s="1"/>
  <c r="W140" i="8"/>
  <c r="AP139" i="8"/>
  <c r="AP140" i="8" s="1"/>
  <c r="AU135" i="8"/>
  <c r="AC135" i="8"/>
  <c r="AC139" i="8" s="1"/>
  <c r="AC140" i="8" s="1"/>
  <c r="AI136" i="8"/>
  <c r="AG137" i="8" s="1"/>
  <c r="AG140" i="8" s="1"/>
  <c r="AJ138" i="8"/>
  <c r="AJ140" i="8" s="1"/>
  <c r="K139" i="8"/>
  <c r="K140" i="8" s="1"/>
  <c r="AY62" i="24"/>
  <c r="AX24" i="25" s="1"/>
  <c r="CB27" i="24"/>
  <c r="AU62" i="24"/>
  <c r="AT24" i="25" s="1"/>
  <c r="AT9" i="25"/>
  <c r="BX26" i="24"/>
  <c r="BX28" i="24" s="1"/>
  <c r="BV18" i="26" s="1"/>
  <c r="BV25" i="26" s="1"/>
  <c r="BI36" i="24"/>
  <c r="BL18" i="26"/>
  <c r="BL25" i="26" s="1"/>
  <c r="BP28" i="24"/>
  <c r="BN18" i="26" s="1"/>
  <c r="BN25" i="26" s="1"/>
  <c r="CA27" i="24"/>
  <c r="G12" i="1"/>
  <c r="CE39" i="25"/>
  <c r="E17" i="1"/>
  <c r="D18" i="1"/>
  <c r="AK25" i="25"/>
  <c r="AK26" i="25" s="1"/>
  <c r="F15" i="1"/>
  <c r="F11" i="1" s="1"/>
  <c r="H29" i="26"/>
  <c r="H96" i="26" s="1"/>
  <c r="AG25" i="25"/>
  <c r="AG26" i="25" s="1"/>
  <c r="BM18" i="26"/>
  <c r="BM25" i="26" s="1"/>
  <c r="AP128" i="8"/>
  <c r="AP120" i="8"/>
  <c r="AR120" i="8"/>
  <c r="AR128" i="8"/>
  <c r="CF39" i="25"/>
  <c r="AZ120" i="8"/>
  <c r="AZ128" i="8"/>
  <c r="AM25" i="25"/>
  <c r="AM26" i="25" s="1"/>
  <c r="AC25" i="25"/>
  <c r="AC26" i="25" s="1"/>
  <c r="AD25" i="25"/>
  <c r="AD26" i="25" s="1"/>
  <c r="AU128" i="8"/>
  <c r="AU120" i="8"/>
  <c r="J43" i="25"/>
  <c r="I19" i="34" s="1"/>
  <c r="AY128" i="8"/>
  <c r="AY120" i="8"/>
  <c r="AC128" i="8"/>
  <c r="AC120" i="8"/>
  <c r="Z25" i="25"/>
  <c r="AS128" i="8"/>
  <c r="AS120" i="8"/>
  <c r="AX9" i="25"/>
  <c r="AX134" i="8" s="1"/>
  <c r="AX135" i="8" s="1"/>
  <c r="AX139" i="8" s="1"/>
  <c r="AX140" i="8" s="1"/>
  <c r="AQ128" i="8"/>
  <c r="AQ120" i="8"/>
  <c r="AH25" i="25"/>
  <c r="AH26" i="25" s="1"/>
  <c r="AV120" i="8"/>
  <c r="AV128" i="8"/>
  <c r="AI25" i="25"/>
  <c r="AI26" i="25" s="1"/>
  <c r="AW128" i="8"/>
  <c r="AW120" i="8"/>
  <c r="BU35" i="24"/>
  <c r="BU61" i="24" s="1"/>
  <c r="BT8" i="25" s="1"/>
  <c r="BU20" i="24"/>
  <c r="BS59" i="24"/>
  <c r="BM86" i="26"/>
  <c r="BM79" i="26"/>
  <c r="H90" i="26"/>
  <c r="H98" i="26" s="1"/>
  <c r="AQ24" i="25"/>
  <c r="AQ23" i="25"/>
  <c r="BB6" i="25"/>
  <c r="BB9" i="25" s="1"/>
  <c r="BB134" i="8" s="1"/>
  <c r="BB135" i="8" s="1"/>
  <c r="BB139" i="8" s="1"/>
  <c r="BB140" i="8" s="1"/>
  <c r="BC62" i="24"/>
  <c r="BG6" i="25"/>
  <c r="BG9" i="25" s="1"/>
  <c r="BG134" i="8" s="1"/>
  <c r="BH62" i="24"/>
  <c r="BL36" i="24"/>
  <c r="CO38" i="25"/>
  <c r="CO37" i="25"/>
  <c r="CP14" i="24"/>
  <c r="CP13" i="24"/>
  <c r="CO14" i="24"/>
  <c r="CO13" i="24"/>
  <c r="CN37" i="25"/>
  <c r="CN38" i="25"/>
  <c r="BU56" i="26"/>
  <c r="BU49" i="26"/>
  <c r="BO86" i="26"/>
  <c r="BO79" i="26"/>
  <c r="BP56" i="26"/>
  <c r="BP49" i="26"/>
  <c r="BP86" i="26"/>
  <c r="BP79" i="26"/>
  <c r="BQ56" i="26"/>
  <c r="BQ49" i="26"/>
  <c r="CI39" i="25"/>
  <c r="CG16" i="26"/>
  <c r="CG77" i="26"/>
  <c r="CL19" i="24"/>
  <c r="CG47" i="26"/>
  <c r="CI33" i="24"/>
  <c r="CC16" i="26"/>
  <c r="CC47" i="26"/>
  <c r="CE33" i="24"/>
  <c r="CC77" i="26"/>
  <c r="CH19" i="24"/>
  <c r="CD39" i="25"/>
  <c r="AF25" i="25"/>
  <c r="AF26" i="25" s="1"/>
  <c r="BF36" i="24"/>
  <c r="BO36" i="24"/>
  <c r="BO59" i="24"/>
  <c r="BQ35" i="24"/>
  <c r="BQ61" i="24" s="1"/>
  <c r="BP8" i="25" s="1"/>
  <c r="BQ20" i="24"/>
  <c r="BL86" i="26"/>
  <c r="BL79" i="26"/>
  <c r="J45" i="24"/>
  <c r="J46" i="24" s="1"/>
  <c r="AZ24" i="25"/>
  <c r="AZ23" i="25"/>
  <c r="CB39" i="25"/>
  <c r="CA48" i="26"/>
  <c r="CC34" i="24"/>
  <c r="CC60" i="24" s="1"/>
  <c r="CB7" i="25" s="1"/>
  <c r="CA78" i="26"/>
  <c r="CA17" i="26"/>
  <c r="CH27" i="24"/>
  <c r="CD16" i="26"/>
  <c r="CD47" i="26"/>
  <c r="CF33" i="24"/>
  <c r="CD77" i="26"/>
  <c r="CI19" i="24"/>
  <c r="BZ39" i="25"/>
  <c r="BX59" i="24"/>
  <c r="G99" i="26"/>
  <c r="G15" i="34" s="1"/>
  <c r="CJ39" i="25"/>
  <c r="CI48" i="26"/>
  <c r="CK34" i="24"/>
  <c r="CK60" i="24" s="1"/>
  <c r="CJ7" i="25" s="1"/>
  <c r="CI78" i="26"/>
  <c r="CI17" i="26"/>
  <c r="CB77" i="26"/>
  <c r="CD33" i="24"/>
  <c r="CB47" i="26"/>
  <c r="CB16" i="26"/>
  <c r="CG19" i="24"/>
  <c r="BX77" i="26"/>
  <c r="BZ33" i="24"/>
  <c r="CB26" i="24"/>
  <c r="BX16" i="26"/>
  <c r="CC19" i="24"/>
  <c r="CC26" i="24" s="1"/>
  <c r="BX47" i="26"/>
  <c r="BY39" i="25"/>
  <c r="BG36" i="24"/>
  <c r="AL25" i="25"/>
  <c r="AL26" i="25" s="1"/>
  <c r="AE25" i="25"/>
  <c r="AE26" i="25" s="1"/>
  <c r="CA39" i="25"/>
  <c r="BT59" i="24"/>
  <c r="BS35" i="24"/>
  <c r="BS61" i="24" s="1"/>
  <c r="BR8" i="25" s="1"/>
  <c r="BS20" i="24"/>
  <c r="BN56" i="26"/>
  <c r="BN49" i="26"/>
  <c r="BY59" i="24"/>
  <c r="BN61" i="24"/>
  <c r="BM36" i="24"/>
  <c r="H14" i="25"/>
  <c r="BT86" i="26"/>
  <c r="BT79" i="26"/>
  <c r="N42" i="24"/>
  <c r="DI7" i="24"/>
  <c r="DE7" i="24"/>
  <c r="DA7" i="24"/>
  <c r="DH7" i="24"/>
  <c r="DD7" i="24"/>
  <c r="CZ7" i="24"/>
  <c r="DB7" i="24"/>
  <c r="DG7" i="24"/>
  <c r="CY7" i="24"/>
  <c r="DF7" i="24"/>
  <c r="CX7" i="24"/>
  <c r="DR4" i="24"/>
  <c r="DC7" i="24"/>
  <c r="CP38" i="25"/>
  <c r="CP37" i="25"/>
  <c r="CQ13" i="24"/>
  <c r="CQ14" i="24"/>
  <c r="CQ37" i="25"/>
  <c r="CR14" i="24"/>
  <c r="CR13" i="24"/>
  <c r="CQ38" i="25"/>
  <c r="CS14" i="24"/>
  <c r="CS13" i="24"/>
  <c r="CR38" i="25"/>
  <c r="CR37" i="25"/>
  <c r="CF78" i="26"/>
  <c r="CF17" i="26"/>
  <c r="CH34" i="24"/>
  <c r="CH60" i="24" s="1"/>
  <c r="CG7" i="25" s="1"/>
  <c r="CF48" i="26"/>
  <c r="BA6" i="25"/>
  <c r="J66" i="24"/>
  <c r="BB62" i="24"/>
  <c r="BZ35" i="24"/>
  <c r="BZ20" i="24"/>
  <c r="BT20" i="24"/>
  <c r="BT35" i="24"/>
  <c r="BT61" i="24" s="1"/>
  <c r="BS8" i="25" s="1"/>
  <c r="BI62" i="24"/>
  <c r="BH6" i="25"/>
  <c r="BH9" i="25" s="1"/>
  <c r="BH134" i="8" s="1"/>
  <c r="BH135" i="8" s="1"/>
  <c r="BH139" i="8" s="1"/>
  <c r="BR59" i="24"/>
  <c r="BJ36" i="24"/>
  <c r="BA8" i="25"/>
  <c r="I14" i="25" s="1"/>
  <c r="J68" i="24"/>
  <c r="CI47" i="26"/>
  <c r="CK33" i="24"/>
  <c r="CI77" i="26"/>
  <c r="CI16" i="26"/>
  <c r="CN19" i="24"/>
  <c r="BX78" i="26"/>
  <c r="BZ34" i="24"/>
  <c r="BX17" i="26"/>
  <c r="CE27" i="24"/>
  <c r="BX48" i="26"/>
  <c r="BF6" i="25"/>
  <c r="BF9" i="25" s="1"/>
  <c r="BF134" i="8" s="1"/>
  <c r="BF135" i="8" s="1"/>
  <c r="BF139" i="8" s="1"/>
  <c r="BF140" i="8" s="1"/>
  <c r="BG62" i="24"/>
  <c r="H60" i="26"/>
  <c r="H97" i="26" s="1"/>
  <c r="BW20" i="24"/>
  <c r="BW35" i="24"/>
  <c r="BW61" i="24" s="1"/>
  <c r="BV8" i="25" s="1"/>
  <c r="BP59" i="24"/>
  <c r="BP36" i="24"/>
  <c r="BX20" i="24"/>
  <c r="BX35" i="24"/>
  <c r="BX61" i="24" s="1"/>
  <c r="BW8" i="25" s="1"/>
  <c r="BW86" i="26"/>
  <c r="BW79" i="26"/>
  <c r="BY35" i="24"/>
  <c r="BY61" i="24" s="1"/>
  <c r="BX8" i="25" s="1"/>
  <c r="BY20" i="24"/>
  <c r="CM38" i="25"/>
  <c r="CM37" i="25"/>
  <c r="CN14" i="24"/>
  <c r="CN13" i="24"/>
  <c r="BA7" i="25"/>
  <c r="I13" i="25" s="1"/>
  <c r="J67" i="24"/>
  <c r="AU23" i="25"/>
  <c r="AU24" i="25"/>
  <c r="BY26" i="24"/>
  <c r="BY28" i="24" s="1"/>
  <c r="BW18" i="26" s="1"/>
  <c r="BW25" i="26" s="1"/>
  <c r="BQ36" i="24"/>
  <c r="BQ59" i="24"/>
  <c r="BV35" i="24"/>
  <c r="BV61" i="24" s="1"/>
  <c r="BU8" i="25" s="1"/>
  <c r="BV20" i="24"/>
  <c r="CE47" i="26"/>
  <c r="CG33" i="24"/>
  <c r="CE77" i="26"/>
  <c r="CJ19" i="24"/>
  <c r="CE16" i="26"/>
  <c r="CH16" i="26"/>
  <c r="CH47" i="26"/>
  <c r="CJ33" i="24"/>
  <c r="CM19" i="24"/>
  <c r="CH77" i="26"/>
  <c r="G15" i="25"/>
  <c r="F17" i="34" s="1"/>
  <c r="BM56" i="26"/>
  <c r="BM49" i="26"/>
  <c r="BL56" i="26"/>
  <c r="BL49" i="26"/>
  <c r="AO24" i="25"/>
  <c r="AO23" i="25"/>
  <c r="BD62" i="24"/>
  <c r="BC6" i="25"/>
  <c r="BC9" i="25" s="1"/>
  <c r="BC134" i="8" s="1"/>
  <c r="BC135" i="8" s="1"/>
  <c r="BC139" i="8" s="1"/>
  <c r="BC140" i="8" s="1"/>
  <c r="BD6" i="25"/>
  <c r="BD9" i="25" s="1"/>
  <c r="BD134" i="8" s="1"/>
  <c r="BD135" i="8" s="1"/>
  <c r="BD139" i="8" s="1"/>
  <c r="BD140" i="8" s="1"/>
  <c r="BE62" i="24"/>
  <c r="CD17" i="26"/>
  <c r="CD48" i="26"/>
  <c r="CF34" i="24"/>
  <c r="CF60" i="24" s="1"/>
  <c r="CE7" i="25" s="1"/>
  <c r="CD78" i="26"/>
  <c r="CK27" i="24"/>
  <c r="BY17" i="26"/>
  <c r="BY78" i="26"/>
  <c r="CF27" i="24"/>
  <c r="CA34" i="24"/>
  <c r="CA60" i="24" s="1"/>
  <c r="BZ7" i="25" s="1"/>
  <c r="BY48" i="26"/>
  <c r="K44" i="24"/>
  <c r="BN60" i="24"/>
  <c r="CA35" i="24"/>
  <c r="CA61" i="24" s="1"/>
  <c r="BZ8" i="25" s="1"/>
  <c r="CA20" i="24"/>
  <c r="BV56" i="26"/>
  <c r="BV49" i="26"/>
  <c r="BZ27" i="24"/>
  <c r="CD27" i="24"/>
  <c r="AY24" i="25"/>
  <c r="AY23" i="25"/>
  <c r="AP24" i="25"/>
  <c r="AP23" i="25"/>
  <c r="BR86" i="26"/>
  <c r="BR79" i="26"/>
  <c r="BR56" i="26"/>
  <c r="BR49" i="26"/>
  <c r="AV24" i="25"/>
  <c r="AV23" i="25"/>
  <c r="BN86" i="26"/>
  <c r="BN79" i="26"/>
  <c r="BS86" i="26"/>
  <c r="BS79" i="26"/>
  <c r="CA26" i="24"/>
  <c r="BW56" i="26"/>
  <c r="BW49" i="26"/>
  <c r="I68" i="24"/>
  <c r="BJ6" i="25"/>
  <c r="BJ9" i="25" s="1"/>
  <c r="BJ134" i="8" s="1"/>
  <c r="BJ135" i="8" s="1"/>
  <c r="BK62" i="24"/>
  <c r="BV59" i="24"/>
  <c r="CL38" i="25"/>
  <c r="CL37" i="25"/>
  <c r="CM14" i="24"/>
  <c r="CM13" i="24"/>
  <c r="CK38" i="25"/>
  <c r="CK37" i="25"/>
  <c r="CL13" i="24"/>
  <c r="CL14" i="24"/>
  <c r="CL8" i="24"/>
  <c r="CM8" i="24" s="1"/>
  <c r="CN8" i="24" s="1"/>
  <c r="CO8" i="24" s="1"/>
  <c r="CP8" i="24" s="1"/>
  <c r="CQ8" i="24" s="1"/>
  <c r="CR8" i="24" s="1"/>
  <c r="CS8" i="24" s="1"/>
  <c r="CT8" i="24" s="1"/>
  <c r="CU8" i="24" s="1"/>
  <c r="CV8" i="24" s="1"/>
  <c r="CW8" i="24" s="1"/>
  <c r="CU38" i="25"/>
  <c r="CV14" i="24"/>
  <c r="CV13" i="24"/>
  <c r="CU37" i="25"/>
  <c r="CW14" i="24"/>
  <c r="CW13" i="24"/>
  <c r="CV37" i="25"/>
  <c r="CV38" i="25"/>
  <c r="BW59" i="24"/>
  <c r="CG17" i="26"/>
  <c r="CG78" i="26"/>
  <c r="CG48" i="26"/>
  <c r="CI34" i="24"/>
  <c r="CI60" i="24" s="1"/>
  <c r="CH7" i="25" s="1"/>
  <c r="BE6" i="25"/>
  <c r="BE9" i="25" s="1"/>
  <c r="BE134" i="8" s="1"/>
  <c r="BE135" i="8" s="1"/>
  <c r="BE139" i="8" s="1"/>
  <c r="BF62" i="24"/>
  <c r="CA47" i="26"/>
  <c r="CC33" i="24"/>
  <c r="CA77" i="26"/>
  <c r="CA16" i="26"/>
  <c r="CF19" i="24"/>
  <c r="CB78" i="26"/>
  <c r="CD34" i="24"/>
  <c r="CD60" i="24" s="1"/>
  <c r="CC7" i="25" s="1"/>
  <c r="CB48" i="26"/>
  <c r="CI27" i="24"/>
  <c r="CB17" i="26"/>
  <c r="BZ17" i="26"/>
  <c r="BZ48" i="26"/>
  <c r="CB34" i="24"/>
  <c r="CB60" i="24" s="1"/>
  <c r="CA7" i="25" s="1"/>
  <c r="BZ78" i="26"/>
  <c r="CG27" i="24"/>
  <c r="AR23" i="25"/>
  <c r="AR24" i="25"/>
  <c r="BS56" i="26"/>
  <c r="BS49" i="26"/>
  <c r="BL6" i="25"/>
  <c r="BL9" i="25" s="1"/>
  <c r="BL134" i="8" s="1"/>
  <c r="BL135" i="8" s="1"/>
  <c r="BL139" i="8" s="1"/>
  <c r="BM62" i="24"/>
  <c r="BO56" i="26"/>
  <c r="BO49" i="26"/>
  <c r="BT26" i="24"/>
  <c r="BT28" i="24" s="1"/>
  <c r="BR18" i="26" s="1"/>
  <c r="BR25" i="26" s="1"/>
  <c r="BU26" i="24"/>
  <c r="BU28" i="24" s="1"/>
  <c r="BS18" i="26" s="1"/>
  <c r="BS25" i="26" s="1"/>
  <c r="BQ86" i="26"/>
  <c r="BQ79" i="26"/>
  <c r="CE48" i="26"/>
  <c r="CG34" i="24"/>
  <c r="CG60" i="24" s="1"/>
  <c r="CF7" i="25" s="1"/>
  <c r="CE78" i="26"/>
  <c r="CE17" i="26"/>
  <c r="CL27" i="24"/>
  <c r="CH17" i="26"/>
  <c r="CH48" i="26"/>
  <c r="CJ34" i="24"/>
  <c r="CJ60" i="24" s="1"/>
  <c r="CI7" i="25" s="1"/>
  <c r="CH78" i="26"/>
  <c r="CH39" i="25"/>
  <c r="CC17" i="26"/>
  <c r="CC48" i="26"/>
  <c r="CJ27" i="24"/>
  <c r="CC78" i="26"/>
  <c r="CE34" i="24"/>
  <c r="CE60" i="24" s="1"/>
  <c r="CD7" i="25" s="1"/>
  <c r="AN25" i="25"/>
  <c r="AN26" i="25" s="1"/>
  <c r="BR35" i="24"/>
  <c r="BR61" i="24" s="1"/>
  <c r="BQ8" i="25" s="1"/>
  <c r="BR20" i="24"/>
  <c r="BN36" i="24"/>
  <c r="K43" i="24"/>
  <c r="BN59" i="24"/>
  <c r="AO9" i="25"/>
  <c r="AO134" i="8" s="1"/>
  <c r="H12" i="25"/>
  <c r="BI6" i="25"/>
  <c r="BI9" i="25" s="1"/>
  <c r="BI134" i="8" s="1"/>
  <c r="BI135" i="8" s="1"/>
  <c r="BJ62" i="24"/>
  <c r="BE36" i="24"/>
  <c r="BY16" i="26"/>
  <c r="BY77" i="26"/>
  <c r="BY47" i="26"/>
  <c r="CD19" i="24"/>
  <c r="CA33" i="24"/>
  <c r="AS24" i="25"/>
  <c r="AS23" i="25"/>
  <c r="BV86" i="26"/>
  <c r="BV79" i="26"/>
  <c r="CC39" i="25"/>
  <c r="AJ25" i="25"/>
  <c r="AJ26" i="25" s="1"/>
  <c r="BZ16" i="26"/>
  <c r="BZ47" i="26"/>
  <c r="CB33" i="24"/>
  <c r="CE19" i="24"/>
  <c r="BZ77" i="26"/>
  <c r="BV26" i="24"/>
  <c r="BV28" i="24" s="1"/>
  <c r="BT18" i="26" s="1"/>
  <c r="BT25" i="26" s="1"/>
  <c r="BR26" i="24"/>
  <c r="BR28" i="24" s="1"/>
  <c r="BP18" i="26" s="1"/>
  <c r="BP25" i="26" s="1"/>
  <c r="BW26" i="24"/>
  <c r="BW28" i="24" s="1"/>
  <c r="BU18" i="26" s="1"/>
  <c r="BU25" i="26" s="1"/>
  <c r="BU59" i="24"/>
  <c r="BH36" i="24"/>
  <c r="BK6" i="25"/>
  <c r="BK9" i="25" s="1"/>
  <c r="BK134" i="8" s="1"/>
  <c r="BK135" i="8" s="1"/>
  <c r="BK139" i="8" s="1"/>
  <c r="BL62" i="24"/>
  <c r="CB20" i="24"/>
  <c r="CB35" i="24"/>
  <c r="CB61" i="24" s="1"/>
  <c r="CA8" i="25" s="1"/>
  <c r="AW24" i="25"/>
  <c r="AW23" i="25"/>
  <c r="BK36" i="24"/>
  <c r="BT56" i="26"/>
  <c r="BT49" i="26"/>
  <c r="CT38" i="25"/>
  <c r="CT37" i="25"/>
  <c r="CU14" i="24"/>
  <c r="CU13" i="24"/>
  <c r="CS38" i="25"/>
  <c r="CS37" i="25"/>
  <c r="CT13" i="24"/>
  <c r="CT14" i="24"/>
  <c r="CF77" i="26"/>
  <c r="CH33" i="24"/>
  <c r="CF16" i="26"/>
  <c r="CK19" i="24"/>
  <c r="CF47" i="26"/>
  <c r="CG39" i="25"/>
  <c r="BU86" i="26"/>
  <c r="BU79" i="26"/>
  <c r="CC28" i="24" l="1"/>
  <c r="G13" i="34"/>
  <c r="G11" i="34" s="1"/>
  <c r="H13" i="34"/>
  <c r="CD26" i="24"/>
  <c r="CD28" i="24" s="1"/>
  <c r="CB18" i="26" s="1"/>
  <c r="CB25" i="26" s="1"/>
  <c r="CB28" i="24"/>
  <c r="BZ18" i="26" s="1"/>
  <c r="BZ25" i="26" s="1"/>
  <c r="CM27" i="24"/>
  <c r="CI26" i="24"/>
  <c r="CI28" i="24" s="1"/>
  <c r="CG18" i="26" s="1"/>
  <c r="CG25" i="26" s="1"/>
  <c r="H12" i="34"/>
  <c r="CH26" i="24"/>
  <c r="CH28" i="24" s="1"/>
  <c r="CF18" i="26" s="1"/>
  <c r="CF25" i="26" s="1"/>
  <c r="BW36" i="24"/>
  <c r="CA28" i="24"/>
  <c r="BY18" i="26" s="1"/>
  <c r="BY25" i="26" s="1"/>
  <c r="BZ28" i="24"/>
  <c r="BX18" i="26" s="1"/>
  <c r="BX25" i="26" s="1"/>
  <c r="AO135" i="8"/>
  <c r="BJ139" i="8"/>
  <c r="BJ140" i="8" s="1"/>
  <c r="BL136" i="8"/>
  <c r="BL140" i="8" s="1"/>
  <c r="BG135" i="8"/>
  <c r="BG139" i="8" s="1"/>
  <c r="AI140" i="8"/>
  <c r="AU139" i="8"/>
  <c r="BI139" i="8"/>
  <c r="BI140" i="8" s="1"/>
  <c r="AT128" i="8"/>
  <c r="AT134" i="8"/>
  <c r="AT135" i="8" s="1"/>
  <c r="AZ136" i="8"/>
  <c r="AX23" i="25"/>
  <c r="AX25" i="25" s="1"/>
  <c r="AX26" i="25" s="1"/>
  <c r="AT23" i="25"/>
  <c r="AT25" i="25" s="1"/>
  <c r="AT26" i="25" s="1"/>
  <c r="CE26" i="24"/>
  <c r="CE28" i="24" s="1"/>
  <c r="CC18" i="26" s="1"/>
  <c r="CC25" i="26" s="1"/>
  <c r="AT120" i="8"/>
  <c r="CG26" i="24"/>
  <c r="CG28" i="24" s="1"/>
  <c r="CE18" i="26" s="1"/>
  <c r="CE25" i="26" s="1"/>
  <c r="H13" i="1"/>
  <c r="CL26" i="24"/>
  <c r="CL28" i="24" s="1"/>
  <c r="I69" i="24"/>
  <c r="G13" i="1"/>
  <c r="CK39" i="25"/>
  <c r="BV36" i="24"/>
  <c r="CJ26" i="24"/>
  <c r="CJ28" i="24" s="1"/>
  <c r="CH18" i="26" s="1"/>
  <c r="CH25" i="26" s="1"/>
  <c r="CM39" i="25"/>
  <c r="H99" i="26"/>
  <c r="H15" i="34" s="1"/>
  <c r="BT36" i="24"/>
  <c r="CN39" i="25"/>
  <c r="CO39" i="25"/>
  <c r="I19" i="1"/>
  <c r="F17" i="1"/>
  <c r="H12" i="1"/>
  <c r="AS25" i="25"/>
  <c r="AS26" i="25" s="1"/>
  <c r="AP25" i="25"/>
  <c r="AP26" i="25" s="1"/>
  <c r="I29" i="26"/>
  <c r="I96" i="26" s="1"/>
  <c r="F29" i="25"/>
  <c r="F30" i="25" s="1"/>
  <c r="E18" i="34" s="1"/>
  <c r="E16" i="34" s="1"/>
  <c r="E20" i="34" s="1"/>
  <c r="E21" i="34" s="1"/>
  <c r="Z26" i="25"/>
  <c r="AW25" i="25"/>
  <c r="AW26" i="25" s="1"/>
  <c r="AV25" i="25"/>
  <c r="AV26" i="25" s="1"/>
  <c r="G29" i="25"/>
  <c r="G30" i="25" s="1"/>
  <c r="F18" i="34" s="1"/>
  <c r="F16" i="34" s="1"/>
  <c r="F20" i="34" s="1"/>
  <c r="F21" i="34" s="1"/>
  <c r="G15" i="1"/>
  <c r="AQ25" i="25"/>
  <c r="AQ26" i="25" s="1"/>
  <c r="BL120" i="8"/>
  <c r="BL128" i="8"/>
  <c r="BH120" i="8"/>
  <c r="BH128" i="8"/>
  <c r="BG128" i="8"/>
  <c r="BG120" i="8"/>
  <c r="BB128" i="8"/>
  <c r="BB120" i="8"/>
  <c r="AX128" i="8"/>
  <c r="AX120" i="8"/>
  <c r="AO128" i="8"/>
  <c r="AO120" i="8"/>
  <c r="BE128" i="8"/>
  <c r="BE120" i="8"/>
  <c r="CU39" i="25"/>
  <c r="BD120" i="8"/>
  <c r="BD128" i="8"/>
  <c r="BC128" i="8"/>
  <c r="BC120" i="8"/>
  <c r="CS39" i="25"/>
  <c r="BK128" i="8"/>
  <c r="BK120" i="8"/>
  <c r="BI128" i="8"/>
  <c r="BI120" i="8"/>
  <c r="AR25" i="25"/>
  <c r="AR26" i="25" s="1"/>
  <c r="BJ128" i="8"/>
  <c r="BJ120" i="8"/>
  <c r="AY25" i="25"/>
  <c r="AY26" i="25" s="1"/>
  <c r="BF128" i="8"/>
  <c r="BF120" i="8"/>
  <c r="AZ25" i="25"/>
  <c r="AZ26" i="25" s="1"/>
  <c r="CF86" i="26"/>
  <c r="CF79" i="26"/>
  <c r="BY86" i="26"/>
  <c r="BY79" i="26"/>
  <c r="BL24" i="25"/>
  <c r="BL23" i="25"/>
  <c r="BE24" i="25"/>
  <c r="BE23" i="25"/>
  <c r="CU47" i="26"/>
  <c r="CW33" i="24"/>
  <c r="CU77" i="26"/>
  <c r="CZ19" i="24"/>
  <c r="CU16" i="26"/>
  <c r="CL17" i="26"/>
  <c r="CL48" i="26"/>
  <c r="CN34" i="24"/>
  <c r="CN60" i="24" s="1"/>
  <c r="CM7" i="25" s="1"/>
  <c r="CL78" i="26"/>
  <c r="CS27" i="24"/>
  <c r="CI56" i="26"/>
  <c r="CI49" i="26"/>
  <c r="CP17" i="26"/>
  <c r="CP48" i="26"/>
  <c r="CR34" i="24"/>
  <c r="CR60" i="24" s="1"/>
  <c r="CQ7" i="25" s="1"/>
  <c r="CP78" i="26"/>
  <c r="CW27" i="24"/>
  <c r="CO17" i="26"/>
  <c r="CO78" i="26"/>
  <c r="CV27" i="24"/>
  <c r="CQ34" i="24"/>
  <c r="CQ60" i="24" s="1"/>
  <c r="CP7" i="25" s="1"/>
  <c r="CO48" i="26"/>
  <c r="CY37" i="25"/>
  <c r="CY38" i="25"/>
  <c r="CZ14" i="24"/>
  <c r="CZ13" i="24"/>
  <c r="BX6" i="25"/>
  <c r="BX9" i="25" s="1"/>
  <c r="BX134" i="8" s="1"/>
  <c r="BX135" i="8" s="1"/>
  <c r="BX139" i="8" s="1"/>
  <c r="BY62" i="24"/>
  <c r="BX56" i="26"/>
  <c r="BX49" i="26"/>
  <c r="CC86" i="26"/>
  <c r="CC79" i="26"/>
  <c r="CN78" i="26"/>
  <c r="CP34" i="24"/>
  <c r="CP60" i="24" s="1"/>
  <c r="CO7" i="25" s="1"/>
  <c r="CN17" i="26"/>
  <c r="CU27" i="24"/>
  <c r="CN48" i="26"/>
  <c r="BB24" i="25"/>
  <c r="BB23" i="25"/>
  <c r="CS17" i="26"/>
  <c r="CS48" i="26"/>
  <c r="CS78" i="26"/>
  <c r="CU34" i="24"/>
  <c r="CU60" i="24" s="1"/>
  <c r="CT7" i="25" s="1"/>
  <c r="CC59" i="24"/>
  <c r="CU48" i="26"/>
  <c r="CW34" i="24"/>
  <c r="CW60" i="24" s="1"/>
  <c r="CV7" i="25" s="1"/>
  <c r="CU78" i="26"/>
  <c r="CU17" i="26"/>
  <c r="CT16" i="26"/>
  <c r="CT47" i="26"/>
  <c r="CV33" i="24"/>
  <c r="CT77" i="26"/>
  <c r="CY19" i="24"/>
  <c r="CK17" i="26"/>
  <c r="CK48" i="26"/>
  <c r="CR27" i="24"/>
  <c r="CK78" i="26"/>
  <c r="CM34" i="24"/>
  <c r="CM60" i="24" s="1"/>
  <c r="CL7" i="25" s="1"/>
  <c r="BU6" i="25"/>
  <c r="BU9" i="25" s="1"/>
  <c r="BU134" i="8" s="1"/>
  <c r="BU135" i="8" s="1"/>
  <c r="BU139" i="8" s="1"/>
  <c r="BU140" i="8" s="1"/>
  <c r="BV62" i="24"/>
  <c r="BM7" i="25"/>
  <c r="J13" i="25" s="1"/>
  <c r="K67" i="24"/>
  <c r="BD24" i="25"/>
  <c r="BD23" i="25"/>
  <c r="CM20" i="24"/>
  <c r="CM35" i="24"/>
  <c r="CM61" i="24" s="1"/>
  <c r="CL8" i="25" s="1"/>
  <c r="CE86" i="26"/>
  <c r="CE79" i="26"/>
  <c r="L44" i="24"/>
  <c r="BZ60" i="24"/>
  <c r="BZ61" i="24"/>
  <c r="I12" i="25"/>
  <c r="BA9" i="25"/>
  <c r="BA134" i="8" s="1"/>
  <c r="CQ39" i="25"/>
  <c r="CO16" i="26"/>
  <c r="CO77" i="26"/>
  <c r="CT19" i="24"/>
  <c r="CO47" i="26"/>
  <c r="CQ33" i="24"/>
  <c r="DB38" i="25"/>
  <c r="DB37" i="25"/>
  <c r="DC14" i="24"/>
  <c r="DC13" i="24"/>
  <c r="CX38" i="25"/>
  <c r="CX37" i="25"/>
  <c r="CY13" i="24"/>
  <c r="CY14" i="24"/>
  <c r="DC38" i="25"/>
  <c r="DC37" i="25"/>
  <c r="DD14" i="24"/>
  <c r="DD13" i="24"/>
  <c r="DI14" i="24"/>
  <c r="DI13" i="24"/>
  <c r="DH38" i="25"/>
  <c r="DH37" i="25"/>
  <c r="K45" i="24"/>
  <c r="BY36" i="24"/>
  <c r="CC35" i="24"/>
  <c r="CC61" i="24" s="1"/>
  <c r="CB8" i="25" s="1"/>
  <c r="CC20" i="24"/>
  <c r="BX86" i="26"/>
  <c r="BX79" i="26"/>
  <c r="CD59" i="24"/>
  <c r="CD56" i="26"/>
  <c r="CD49" i="26"/>
  <c r="I90" i="26"/>
  <c r="I98" i="26" s="1"/>
  <c r="CE59" i="24"/>
  <c r="CI59" i="24"/>
  <c r="BR6" i="25"/>
  <c r="BR9" i="25" s="1"/>
  <c r="BR134" i="8" s="1"/>
  <c r="BR135" i="8" s="1"/>
  <c r="BS62" i="24"/>
  <c r="CA36" i="24"/>
  <c r="CA59" i="24"/>
  <c r="K46" i="24"/>
  <c r="CA86" i="26"/>
  <c r="CA79" i="26"/>
  <c r="CH56" i="26"/>
  <c r="CH49" i="26"/>
  <c r="BF24" i="25"/>
  <c r="BF23" i="25"/>
  <c r="DE38" i="25"/>
  <c r="DE37" i="25"/>
  <c r="DF14" i="24"/>
  <c r="DF13" i="24"/>
  <c r="L43" i="24"/>
  <c r="BZ36" i="24"/>
  <c r="BZ59" i="24"/>
  <c r="CP27" i="24"/>
  <c r="CF59" i="24"/>
  <c r="CG86" i="26"/>
  <c r="CG79" i="26"/>
  <c r="CR78" i="26"/>
  <c r="CT34" i="24"/>
  <c r="CT60" i="24" s="1"/>
  <c r="CS7" i="25" s="1"/>
  <c r="CR48" i="26"/>
  <c r="CR17" i="26"/>
  <c r="BK23" i="25"/>
  <c r="BK24" i="25"/>
  <c r="BT6" i="25"/>
  <c r="BT9" i="25" s="1"/>
  <c r="BT134" i="8" s="1"/>
  <c r="BT135" i="8" s="1"/>
  <c r="BT139" i="8" s="1"/>
  <c r="BU62" i="24"/>
  <c r="BZ79" i="26"/>
  <c r="BZ86" i="26"/>
  <c r="BZ56" i="26"/>
  <c r="BZ49" i="26"/>
  <c r="CD35" i="24"/>
  <c r="CD61" i="24" s="1"/>
  <c r="CC8" i="25" s="1"/>
  <c r="CD20" i="24"/>
  <c r="CO27" i="24"/>
  <c r="CF20" i="24"/>
  <c r="CF35" i="24"/>
  <c r="CF61" i="24" s="1"/>
  <c r="CE8" i="25" s="1"/>
  <c r="CA56" i="26"/>
  <c r="CA49" i="26"/>
  <c r="BV6" i="25"/>
  <c r="BV9" i="25" s="1"/>
  <c r="BV134" i="8" s="1"/>
  <c r="BV135" i="8" s="1"/>
  <c r="BW62" i="24"/>
  <c r="CV39" i="25"/>
  <c r="CT17" i="26"/>
  <c r="CT48" i="26"/>
  <c r="CV34" i="24"/>
  <c r="CV60" i="24" s="1"/>
  <c r="CU7" i="25" s="1"/>
  <c r="CT78" i="26"/>
  <c r="CJ78" i="26"/>
  <c r="CL34" i="24"/>
  <c r="CJ48" i="26"/>
  <c r="CQ27" i="24"/>
  <c r="CJ17" i="26"/>
  <c r="I60" i="26"/>
  <c r="I97" i="26" s="1"/>
  <c r="CG59" i="24"/>
  <c r="BQ62" i="24"/>
  <c r="BP6" i="25"/>
  <c r="BP9" i="25" s="1"/>
  <c r="BP134" i="8" s="1"/>
  <c r="BP135" i="8" s="1"/>
  <c r="BP139" i="8" s="1"/>
  <c r="BP140" i="8" s="1"/>
  <c r="CI86" i="26"/>
  <c r="CI79" i="26"/>
  <c r="BQ6" i="25"/>
  <c r="BQ9" i="25" s="1"/>
  <c r="BQ134" i="8" s="1"/>
  <c r="BQ135" i="8" s="1"/>
  <c r="BQ139" i="8" s="1"/>
  <c r="BR62" i="24"/>
  <c r="BH23" i="25"/>
  <c r="BH24" i="25"/>
  <c r="CQ47" i="26"/>
  <c r="CS33" i="24"/>
  <c r="CQ77" i="26"/>
  <c r="CQ16" i="26"/>
  <c r="CV19" i="24"/>
  <c r="O42" i="24"/>
  <c r="DU7" i="24"/>
  <c r="DQ7" i="24"/>
  <c r="DM7" i="24"/>
  <c r="DT7" i="24"/>
  <c r="DP7" i="24"/>
  <c r="DL7" i="24"/>
  <c r="DR7" i="24"/>
  <c r="DJ7" i="24"/>
  <c r="DO7" i="24"/>
  <c r="DN7" i="24"/>
  <c r="DS7" i="24"/>
  <c r="DK7" i="24"/>
  <c r="DF38" i="25"/>
  <c r="DF37" i="25"/>
  <c r="DG13" i="24"/>
  <c r="DG14" i="24"/>
  <c r="DG37" i="25"/>
  <c r="DH14" i="24"/>
  <c r="DH13" i="24"/>
  <c r="DG38" i="25"/>
  <c r="CG35" i="24"/>
  <c r="CG61" i="24" s="1"/>
  <c r="CF8" i="25" s="1"/>
  <c r="CG20" i="24"/>
  <c r="CF26" i="24"/>
  <c r="CF28" i="24" s="1"/>
  <c r="CD18" i="26" s="1"/>
  <c r="CD25" i="26" s="1"/>
  <c r="BX36" i="24"/>
  <c r="CI35" i="24"/>
  <c r="CI61" i="24" s="1"/>
  <c r="CH8" i="25" s="1"/>
  <c r="CI20" i="24"/>
  <c r="CC56" i="26"/>
  <c r="CC49" i="26"/>
  <c r="CG56" i="26"/>
  <c r="CG49" i="26"/>
  <c r="CM47" i="26"/>
  <c r="CO33" i="24"/>
  <c r="CM77" i="26"/>
  <c r="CR19" i="24"/>
  <c r="CM16" i="26"/>
  <c r="CN77" i="26"/>
  <c r="CP33" i="24"/>
  <c r="CN16" i="26"/>
  <c r="CN47" i="26"/>
  <c r="CS19" i="24"/>
  <c r="BS36" i="24"/>
  <c r="CK35" i="24"/>
  <c r="CK61" i="24" s="1"/>
  <c r="CJ8" i="25" s="1"/>
  <c r="CK20" i="24"/>
  <c r="BI24" i="25"/>
  <c r="BI23" i="25"/>
  <c r="CH79" i="26"/>
  <c r="CH86" i="26"/>
  <c r="CJ20" i="24"/>
  <c r="CJ35" i="24"/>
  <c r="CJ61" i="24" s="1"/>
  <c r="CI8" i="25" s="1"/>
  <c r="CN20" i="24"/>
  <c r="CN35" i="24"/>
  <c r="CN61" i="24" s="1"/>
  <c r="CM8" i="25" s="1"/>
  <c r="J69" i="24"/>
  <c r="DE14" i="24"/>
  <c r="DE13" i="24"/>
  <c r="DD37" i="25"/>
  <c r="DD38" i="25"/>
  <c r="BM8" i="25"/>
  <c r="J14" i="25" s="1"/>
  <c r="K68" i="24"/>
  <c r="BT62" i="24"/>
  <c r="BS6" i="25"/>
  <c r="BS9" i="25" s="1"/>
  <c r="BS134" i="8" s="1"/>
  <c r="CB56" i="26"/>
  <c r="CB49" i="26"/>
  <c r="BN6" i="25"/>
  <c r="BN9" i="25" s="1"/>
  <c r="BN134" i="8" s="1"/>
  <c r="BN135" i="8" s="1"/>
  <c r="BN139" i="8" s="1"/>
  <c r="BN140" i="8" s="1"/>
  <c r="BO62" i="24"/>
  <c r="CK26" i="24"/>
  <c r="CK28" i="24" s="1"/>
  <c r="CI18" i="26" s="1"/>
  <c r="CI25" i="26" s="1"/>
  <c r="CB36" i="24"/>
  <c r="CB59" i="24"/>
  <c r="CA18" i="26"/>
  <c r="CA25" i="26" s="1"/>
  <c r="CF56" i="26"/>
  <c r="CF49" i="26"/>
  <c r="CH59" i="24"/>
  <c r="CR77" i="26"/>
  <c r="CR47" i="26"/>
  <c r="CT33" i="24"/>
  <c r="CW19" i="24"/>
  <c r="CR16" i="26"/>
  <c r="CS16" i="26"/>
  <c r="CS47" i="26"/>
  <c r="CU33" i="24"/>
  <c r="CS77" i="26"/>
  <c r="CX19" i="24"/>
  <c r="CT39" i="25"/>
  <c r="BU36" i="24"/>
  <c r="CE35" i="24"/>
  <c r="CE61" i="24" s="1"/>
  <c r="CD8" i="25" s="1"/>
  <c r="CE20" i="24"/>
  <c r="BY56" i="26"/>
  <c r="BY49" i="26"/>
  <c r="H15" i="25"/>
  <c r="G17" i="34" s="1"/>
  <c r="K66" i="24"/>
  <c r="BM6" i="25"/>
  <c r="BN62" i="24"/>
  <c r="CN27" i="24"/>
  <c r="CJ77" i="26"/>
  <c r="CN26" i="24"/>
  <c r="CL33" i="24"/>
  <c r="CJ47" i="26"/>
  <c r="CJ16" i="26"/>
  <c r="CO19" i="24"/>
  <c r="CO26" i="24" s="1"/>
  <c r="CK16" i="26"/>
  <c r="CK47" i="26"/>
  <c r="CK77" i="26"/>
  <c r="CM33" i="24"/>
  <c r="CP19" i="24"/>
  <c r="CL39" i="25"/>
  <c r="BJ24" i="25"/>
  <c r="BJ23" i="25"/>
  <c r="BC24" i="25"/>
  <c r="BC23" i="25"/>
  <c r="AO25" i="25"/>
  <c r="AO26" i="25" s="1"/>
  <c r="CJ59" i="24"/>
  <c r="CE56" i="26"/>
  <c r="CE49" i="26"/>
  <c r="AU25" i="25"/>
  <c r="AU26" i="25" s="1"/>
  <c r="CL16" i="26"/>
  <c r="CL47" i="26"/>
  <c r="CN33" i="24"/>
  <c r="CL77" i="26"/>
  <c r="CQ19" i="24"/>
  <c r="BO6" i="25"/>
  <c r="BO9" i="25" s="1"/>
  <c r="BO134" i="8" s="1"/>
  <c r="BO135" i="8" s="1"/>
  <c r="BO139" i="8" s="1"/>
  <c r="BO140" i="8" s="1"/>
  <c r="BP62" i="24"/>
  <c r="CM26" i="24"/>
  <c r="CK59" i="24"/>
  <c r="BR36" i="24"/>
  <c r="BA24" i="25"/>
  <c r="BA23" i="25"/>
  <c r="CR39" i="25"/>
  <c r="CQ48" i="26"/>
  <c r="CS34" i="24"/>
  <c r="CS60" i="24" s="1"/>
  <c r="CR7" i="25" s="1"/>
  <c r="CQ78" i="26"/>
  <c r="CQ17" i="26"/>
  <c r="CP16" i="26"/>
  <c r="CP47" i="26"/>
  <c r="CR33" i="24"/>
  <c r="CU19" i="24"/>
  <c r="CP77" i="26"/>
  <c r="CP39" i="25"/>
  <c r="CW38" i="25"/>
  <c r="CW37" i="25"/>
  <c r="CX14" i="24"/>
  <c r="CX27" i="24" s="1"/>
  <c r="CX8" i="24"/>
  <c r="CY8" i="24" s="1"/>
  <c r="CZ8" i="24" s="1"/>
  <c r="DA8" i="24" s="1"/>
  <c r="DB8" i="24" s="1"/>
  <c r="DC8" i="24" s="1"/>
  <c r="DD8" i="24" s="1"/>
  <c r="DE8" i="24" s="1"/>
  <c r="DF8" i="24" s="1"/>
  <c r="DG8" i="24" s="1"/>
  <c r="DH8" i="24" s="1"/>
  <c r="DI8" i="24" s="1"/>
  <c r="CX13" i="24"/>
  <c r="DA38" i="25"/>
  <c r="DA37" i="25"/>
  <c r="DB13" i="24"/>
  <c r="DB14" i="24"/>
  <c r="DA14" i="24"/>
  <c r="DA13" i="24"/>
  <c r="CZ38" i="25"/>
  <c r="CZ37" i="25"/>
  <c r="K43" i="25"/>
  <c r="J19" i="34" s="1"/>
  <c r="CB86" i="26"/>
  <c r="CB79" i="26"/>
  <c r="BW6" i="25"/>
  <c r="BW9" i="25" s="1"/>
  <c r="BW134" i="8" s="1"/>
  <c r="BW135" i="8" s="1"/>
  <c r="BX62" i="24"/>
  <c r="CD86" i="26"/>
  <c r="CD79" i="26"/>
  <c r="CH35" i="24"/>
  <c r="CH61" i="24" s="1"/>
  <c r="CG8" i="25" s="1"/>
  <c r="CH20" i="24"/>
  <c r="CL35" i="24"/>
  <c r="CL20" i="24"/>
  <c r="CM48" i="26"/>
  <c r="CO34" i="24"/>
  <c r="CO60" i="24" s="1"/>
  <c r="CN7" i="25" s="1"/>
  <c r="CM78" i="26"/>
  <c r="CT27" i="24"/>
  <c r="CM17" i="26"/>
  <c r="BG24" i="25"/>
  <c r="BG23" i="25"/>
  <c r="I13" i="34" l="1"/>
  <c r="CM28" i="24"/>
  <c r="CK18" i="26" s="1"/>
  <c r="CK25" i="26" s="1"/>
  <c r="CO28" i="24"/>
  <c r="CM18" i="26" s="1"/>
  <c r="CM25" i="26" s="1"/>
  <c r="CJ18" i="26"/>
  <c r="CJ25" i="26" s="1"/>
  <c r="CP26" i="24"/>
  <c r="CP28" i="24" s="1"/>
  <c r="CN18" i="26" s="1"/>
  <c r="CN25" i="26" s="1"/>
  <c r="H11" i="34"/>
  <c r="I12" i="34"/>
  <c r="AU136" i="8"/>
  <c r="AS137" i="8" s="1"/>
  <c r="AS140" i="8" s="1"/>
  <c r="BK137" i="8"/>
  <c r="BK140" i="8" s="1"/>
  <c r="BR139" i="8"/>
  <c r="BR140" i="8" s="1"/>
  <c r="AY137" i="8"/>
  <c r="AY140" i="8" s="1"/>
  <c r="AZ140" i="8"/>
  <c r="AO139" i="8"/>
  <c r="AO140" i="8" s="1"/>
  <c r="BS135" i="8"/>
  <c r="BS139" i="8" s="1"/>
  <c r="BX136" i="8"/>
  <c r="BX140" i="8" s="1"/>
  <c r="AT139" i="8"/>
  <c r="AT140" i="8" s="1"/>
  <c r="BW139" i="8"/>
  <c r="BV139" i="8"/>
  <c r="BV140" i="8" s="1"/>
  <c r="BA135" i="8"/>
  <c r="BA139" i="8" s="1"/>
  <c r="BA140" i="8" s="1"/>
  <c r="BG136" i="8"/>
  <c r="BE137" i="8" s="1"/>
  <c r="BE140" i="8" s="1"/>
  <c r="BH138" i="8"/>
  <c r="BH140" i="8" s="1"/>
  <c r="AV138" i="8"/>
  <c r="AV140" i="8" s="1"/>
  <c r="G11" i="1"/>
  <c r="CJ36" i="24"/>
  <c r="CT26" i="24"/>
  <c r="CT28" i="24" s="1"/>
  <c r="CR18" i="26" s="1"/>
  <c r="CR25" i="26" s="1"/>
  <c r="DF39" i="25"/>
  <c r="CK36" i="24"/>
  <c r="BC25" i="25"/>
  <c r="BC26" i="25" s="1"/>
  <c r="BE25" i="25"/>
  <c r="BE26" i="25" s="1"/>
  <c r="CY27" i="24"/>
  <c r="H15" i="1"/>
  <c r="H11" i="1" s="1"/>
  <c r="CW26" i="24"/>
  <c r="CW28" i="24" s="1"/>
  <c r="CU18" i="26" s="1"/>
  <c r="CU25" i="26" s="1"/>
  <c r="I13" i="1"/>
  <c r="CX26" i="24"/>
  <c r="CX28" i="24" s="1"/>
  <c r="CU26" i="24"/>
  <c r="CU28" i="24" s="1"/>
  <c r="CS18" i="26" s="1"/>
  <c r="CS25" i="26" s="1"/>
  <c r="DE39" i="25"/>
  <c r="BJ25" i="25"/>
  <c r="BJ26" i="25" s="1"/>
  <c r="DH39" i="25"/>
  <c r="BD25" i="25"/>
  <c r="BD26" i="25" s="1"/>
  <c r="BL25" i="25"/>
  <c r="BL26" i="25" s="1"/>
  <c r="J19" i="1"/>
  <c r="K69" i="24"/>
  <c r="I12" i="1"/>
  <c r="G17" i="1"/>
  <c r="BB25" i="25"/>
  <c r="BB26" i="25" s="1"/>
  <c r="E18" i="1"/>
  <c r="F18" i="1"/>
  <c r="J29" i="26"/>
  <c r="J96" i="26" s="1"/>
  <c r="I99" i="26"/>
  <c r="I15" i="34" s="1"/>
  <c r="BF25" i="25"/>
  <c r="BF26" i="25" s="1"/>
  <c r="L43" i="25"/>
  <c r="K19" i="34" s="1"/>
  <c r="DD39" i="25"/>
  <c r="BQ128" i="8"/>
  <c r="BQ120" i="8"/>
  <c r="BX120" i="8"/>
  <c r="BX128" i="8"/>
  <c r="BN128" i="8"/>
  <c r="BN120" i="8"/>
  <c r="BG25" i="25"/>
  <c r="BG26" i="25" s="1"/>
  <c r="BS128" i="8"/>
  <c r="BS120" i="8"/>
  <c r="BP120" i="8"/>
  <c r="BP128" i="8"/>
  <c r="BV128" i="8"/>
  <c r="BV120" i="8"/>
  <c r="DC39" i="25"/>
  <c r="BU128" i="8"/>
  <c r="BU120" i="8"/>
  <c r="BR128" i="8"/>
  <c r="BR120" i="8"/>
  <c r="BW128" i="8"/>
  <c r="BW120" i="8"/>
  <c r="BA25" i="25"/>
  <c r="BO128" i="8"/>
  <c r="BO120" i="8"/>
  <c r="BT120" i="8"/>
  <c r="BT128" i="8"/>
  <c r="CX39" i="25"/>
  <c r="DB39" i="25"/>
  <c r="BA128" i="8"/>
  <c r="BA120" i="8"/>
  <c r="CK79" i="26"/>
  <c r="CK86" i="26"/>
  <c r="CR86" i="26"/>
  <c r="CR79" i="26"/>
  <c r="CR20" i="24"/>
  <c r="CR35" i="24"/>
  <c r="CR61" i="24" s="1"/>
  <c r="CQ8" i="25" s="1"/>
  <c r="DM14" i="24"/>
  <c r="DM13" i="24"/>
  <c r="DL37" i="25"/>
  <c r="DL38" i="25"/>
  <c r="DB17" i="26"/>
  <c r="DB48" i="26"/>
  <c r="DD34" i="24"/>
  <c r="DD60" i="24" s="1"/>
  <c r="DC7" i="25" s="1"/>
  <c r="DB78" i="26"/>
  <c r="DI27" i="24"/>
  <c r="CO86" i="26"/>
  <c r="CO79" i="26"/>
  <c r="CV59" i="24"/>
  <c r="CB6" i="25"/>
  <c r="CB9" i="25" s="1"/>
  <c r="CB134" i="8" s="1"/>
  <c r="CB135" i="8" s="1"/>
  <c r="CB139" i="8" s="1"/>
  <c r="CB140" i="8" s="1"/>
  <c r="CC62" i="24"/>
  <c r="BW24" i="25"/>
  <c r="BW23" i="25"/>
  <c r="DA39" i="25"/>
  <c r="CR59" i="24"/>
  <c r="CN59" i="24"/>
  <c r="CN36" i="24"/>
  <c r="CK56" i="26"/>
  <c r="CK49" i="26"/>
  <c r="CJ56" i="26"/>
  <c r="CJ49" i="26"/>
  <c r="CS56" i="26"/>
  <c r="CS49" i="26"/>
  <c r="CT59" i="24"/>
  <c r="CG6" i="25"/>
  <c r="CG9" i="25" s="1"/>
  <c r="CG134" i="8" s="1"/>
  <c r="CG135" i="8" s="1"/>
  <c r="CG139" i="8" s="1"/>
  <c r="CG140" i="8" s="1"/>
  <c r="CH62" i="24"/>
  <c r="BN24" i="25"/>
  <c r="BN23" i="25"/>
  <c r="DC48" i="26"/>
  <c r="DE34" i="24"/>
  <c r="DE60" i="24" s="1"/>
  <c r="DD7" i="25" s="1"/>
  <c r="DC78" i="26"/>
  <c r="DC17" i="26"/>
  <c r="BI25" i="25"/>
  <c r="BI26" i="25" s="1"/>
  <c r="CN56" i="26"/>
  <c r="CN49" i="26"/>
  <c r="CN86" i="26"/>
  <c r="CN79" i="26"/>
  <c r="CM86" i="26"/>
  <c r="CM79" i="26"/>
  <c r="DF17" i="26"/>
  <c r="DF48" i="26"/>
  <c r="DH34" i="24"/>
  <c r="DH60" i="24" s="1"/>
  <c r="DG7" i="25" s="1"/>
  <c r="DF78" i="26"/>
  <c r="DE17" i="26"/>
  <c r="DE78" i="26"/>
  <c r="DE48" i="26"/>
  <c r="DG34" i="24"/>
  <c r="DG60" i="24" s="1"/>
  <c r="DF7" i="25" s="1"/>
  <c r="DN38" i="25"/>
  <c r="DN37" i="25"/>
  <c r="DO13" i="24"/>
  <c r="DO14" i="24"/>
  <c r="DK38" i="25"/>
  <c r="DL14" i="24"/>
  <c r="DL13" i="24"/>
  <c r="DK37" i="25"/>
  <c r="DQ14" i="24"/>
  <c r="DQ13" i="24"/>
  <c r="DP38" i="25"/>
  <c r="DP37" i="25"/>
  <c r="CV20" i="24"/>
  <c r="CV35" i="24"/>
  <c r="CV61" i="24" s="1"/>
  <c r="CU8" i="25" s="1"/>
  <c r="CQ56" i="26"/>
  <c r="CQ49" i="26"/>
  <c r="CF6" i="25"/>
  <c r="CF9" i="25" s="1"/>
  <c r="CF134" i="8" s="1"/>
  <c r="CF135" i="8" s="1"/>
  <c r="CG62" i="24"/>
  <c r="M44" i="24"/>
  <c r="CL60" i="24"/>
  <c r="BV24" i="25"/>
  <c r="BV23" i="25"/>
  <c r="BY6" i="25"/>
  <c r="BZ62" i="24"/>
  <c r="L66" i="24"/>
  <c r="DD78" i="26"/>
  <c r="DF34" i="24"/>
  <c r="DF60" i="24" s="1"/>
  <c r="DE7" i="25" s="1"/>
  <c r="DD17" i="26"/>
  <c r="DD48" i="26"/>
  <c r="CE36" i="24"/>
  <c r="CW17" i="26"/>
  <c r="CW78" i="26"/>
  <c r="DD27" i="24"/>
  <c r="CW48" i="26"/>
  <c r="CY34" i="24"/>
  <c r="CY60" i="24" s="1"/>
  <c r="CX7" i="25" s="1"/>
  <c r="CQ59" i="24"/>
  <c r="BU24" i="25"/>
  <c r="BU23" i="25"/>
  <c r="CT56" i="26"/>
  <c r="CT49" i="26"/>
  <c r="CC36" i="24"/>
  <c r="J60" i="26"/>
  <c r="J97" i="26" s="1"/>
  <c r="CY39" i="25"/>
  <c r="CU56" i="26"/>
  <c r="CU49" i="26"/>
  <c r="CL86" i="26"/>
  <c r="CL79" i="26"/>
  <c r="CJ86" i="26"/>
  <c r="CJ79" i="26"/>
  <c r="CW35" i="24"/>
  <c r="CW61" i="24" s="1"/>
  <c r="CV8" i="25" s="1"/>
  <c r="CW20" i="24"/>
  <c r="DC47" i="26"/>
  <c r="DE33" i="24"/>
  <c r="DC77" i="26"/>
  <c r="DH19" i="24"/>
  <c r="DC16" i="26"/>
  <c r="CP59" i="24"/>
  <c r="DF16" i="26"/>
  <c r="DF47" i="26"/>
  <c r="DH33" i="24"/>
  <c r="DK19" i="24"/>
  <c r="DF77" i="26"/>
  <c r="DM38" i="25"/>
  <c r="DM37" i="25"/>
  <c r="DN14" i="24"/>
  <c r="DN13" i="24"/>
  <c r="BQ24" i="25"/>
  <c r="BQ23" i="25"/>
  <c r="BP23" i="25"/>
  <c r="BP24" i="25"/>
  <c r="CD6" i="25"/>
  <c r="CD9" i="25" s="1"/>
  <c r="CD134" i="8" s="1"/>
  <c r="CD135" i="8" s="1"/>
  <c r="CD139" i="8" s="1"/>
  <c r="CD140" i="8" s="1"/>
  <c r="CE62" i="24"/>
  <c r="CD36" i="24"/>
  <c r="DG48" i="26"/>
  <c r="DI34" i="24"/>
  <c r="DI60" i="24" s="1"/>
  <c r="DH7" i="25" s="1"/>
  <c r="DG78" i="26"/>
  <c r="DG17" i="26"/>
  <c r="CS26" i="24"/>
  <c r="CS28" i="24" s="1"/>
  <c r="CQ18" i="26" s="1"/>
  <c r="CQ25" i="26" s="1"/>
  <c r="CY26" i="24"/>
  <c r="CW59" i="24"/>
  <c r="CY47" i="26"/>
  <c r="DA33" i="24"/>
  <c r="CY77" i="26"/>
  <c r="CY16" i="26"/>
  <c r="DD19" i="24"/>
  <c r="CZ78" i="26"/>
  <c r="DB34" i="24"/>
  <c r="DB60" i="24" s="1"/>
  <c r="DA7" i="25" s="1"/>
  <c r="CZ48" i="26"/>
  <c r="DG27" i="24"/>
  <c r="CZ17" i="26"/>
  <c r="CV78" i="26"/>
  <c r="CV17" i="26"/>
  <c r="DC27" i="24"/>
  <c r="CX34" i="24"/>
  <c r="CV48" i="26"/>
  <c r="CP79" i="26"/>
  <c r="CP86" i="26"/>
  <c r="CP56" i="26"/>
  <c r="CP49" i="26"/>
  <c r="BO24" i="25"/>
  <c r="BO23" i="25"/>
  <c r="CL56" i="26"/>
  <c r="CL49" i="26"/>
  <c r="CJ62" i="24"/>
  <c r="CI6" i="25"/>
  <c r="CI9" i="25" s="1"/>
  <c r="CI134" i="8" s="1"/>
  <c r="CI135" i="8" s="1"/>
  <c r="CI139" i="8" s="1"/>
  <c r="CP35" i="24"/>
  <c r="CP61" i="24" s="1"/>
  <c r="CO8" i="25" s="1"/>
  <c r="CP20" i="24"/>
  <c r="CL36" i="24"/>
  <c r="M43" i="24"/>
  <c r="CL59" i="24"/>
  <c r="BM24" i="25"/>
  <c r="BM23" i="25"/>
  <c r="CX35" i="24"/>
  <c r="CX20" i="24"/>
  <c r="CR56" i="26"/>
  <c r="CR49" i="26"/>
  <c r="CH36" i="24"/>
  <c r="CA6" i="25"/>
  <c r="CA9" i="25" s="1"/>
  <c r="CA134" i="8" s="1"/>
  <c r="CA135" i="8" s="1"/>
  <c r="CA139" i="8" s="1"/>
  <c r="CA140" i="8" s="1"/>
  <c r="CB62" i="24"/>
  <c r="CO59" i="24"/>
  <c r="DG39" i="25"/>
  <c r="DE16" i="26"/>
  <c r="DE77" i="26"/>
  <c r="DJ19" i="24"/>
  <c r="DE47" i="26"/>
  <c r="DG33" i="24"/>
  <c r="DJ38" i="25"/>
  <c r="DJ37" i="25"/>
  <c r="DK14" i="24"/>
  <c r="DK13" i="24"/>
  <c r="DI38" i="25"/>
  <c r="DI37" i="25"/>
  <c r="DJ13" i="24"/>
  <c r="DJ14" i="24"/>
  <c r="DJ27" i="24" s="1"/>
  <c r="DJ8" i="24"/>
  <c r="DK8" i="24" s="1"/>
  <c r="DL8" i="24" s="1"/>
  <c r="DM8" i="24" s="1"/>
  <c r="DN8" i="24" s="1"/>
  <c r="DO8" i="24" s="1"/>
  <c r="DP8" i="24" s="1"/>
  <c r="DQ8" i="24" s="1"/>
  <c r="DR8" i="24" s="1"/>
  <c r="DS8" i="24" s="1"/>
  <c r="DT8" i="24" s="1"/>
  <c r="DU8" i="24" s="1"/>
  <c r="DO37" i="25"/>
  <c r="DO38" i="25"/>
  <c r="DP14" i="24"/>
  <c r="DP13" i="24"/>
  <c r="DU14" i="24"/>
  <c r="DU13" i="24"/>
  <c r="DT37" i="25"/>
  <c r="DT38" i="25"/>
  <c r="CG36" i="24"/>
  <c r="BK25" i="25"/>
  <c r="BK26" i="25" s="1"/>
  <c r="CF36" i="24"/>
  <c r="DD77" i="26"/>
  <c r="DF33" i="24"/>
  <c r="DD16" i="26"/>
  <c r="DI19" i="24"/>
  <c r="DD47" i="26"/>
  <c r="CH6" i="25"/>
  <c r="CH9" i="25" s="1"/>
  <c r="CH134" i="8" s="1"/>
  <c r="CH135" i="8" s="1"/>
  <c r="CH139" i="8" s="1"/>
  <c r="CH140" i="8" s="1"/>
  <c r="CI62" i="24"/>
  <c r="J90" i="26"/>
  <c r="J98" i="26" s="1"/>
  <c r="CW16" i="26"/>
  <c r="CW77" i="26"/>
  <c r="CW47" i="26"/>
  <c r="DB19" i="24"/>
  <c r="CY33" i="24"/>
  <c r="DA16" i="26"/>
  <c r="DA47" i="26"/>
  <c r="DA77" i="26"/>
  <c r="DC33" i="24"/>
  <c r="DF19" i="24"/>
  <c r="CO56" i="26"/>
  <c r="CO49" i="26"/>
  <c r="BY8" i="25"/>
  <c r="K14" i="25" s="1"/>
  <c r="L68" i="24"/>
  <c r="CY35" i="24"/>
  <c r="CY61" i="24" s="1"/>
  <c r="CX8" i="25" s="1"/>
  <c r="CY20" i="24"/>
  <c r="CX16" i="26"/>
  <c r="CX47" i="26"/>
  <c r="CZ33" i="24"/>
  <c r="DC19" i="24"/>
  <c r="CX77" i="26"/>
  <c r="CZ20" i="24"/>
  <c r="CZ35" i="24"/>
  <c r="CZ61" i="24" s="1"/>
  <c r="CY8" i="25" s="1"/>
  <c r="CU59" i="24"/>
  <c r="CS35" i="24"/>
  <c r="CS61" i="24" s="1"/>
  <c r="CR8" i="25" s="1"/>
  <c r="CS20" i="24"/>
  <c r="CS59" i="24"/>
  <c r="DA17" i="26"/>
  <c r="DA48" i="26"/>
  <c r="DH27" i="24"/>
  <c r="DA78" i="26"/>
  <c r="DC34" i="24"/>
  <c r="DC60" i="24" s="1"/>
  <c r="DB7" i="25" s="1"/>
  <c r="CL61" i="24"/>
  <c r="CZ39" i="25"/>
  <c r="CY48" i="26"/>
  <c r="DA34" i="24"/>
  <c r="DA60" i="24" s="1"/>
  <c r="CZ7" i="25" s="1"/>
  <c r="CY78" i="26"/>
  <c r="CY17" i="26"/>
  <c r="DF27" i="24"/>
  <c r="CZ77" i="26"/>
  <c r="DB33" i="24"/>
  <c r="CZ47" i="26"/>
  <c r="CZ16" i="26"/>
  <c r="DE19" i="24"/>
  <c r="CV77" i="26"/>
  <c r="CX33" i="24"/>
  <c r="CZ26" i="24"/>
  <c r="CV16" i="26"/>
  <c r="CV47" i="26"/>
  <c r="DA19" i="24"/>
  <c r="CW39" i="25"/>
  <c r="CU35" i="24"/>
  <c r="CU61" i="24" s="1"/>
  <c r="CT8" i="25" s="1"/>
  <c r="CU20" i="24"/>
  <c r="CJ6" i="25"/>
  <c r="CJ9" i="25" s="1"/>
  <c r="CJ134" i="8" s="1"/>
  <c r="CJ135" i="8" s="1"/>
  <c r="CJ139" i="8" s="1"/>
  <c r="CK62" i="24"/>
  <c r="CQ35" i="24"/>
  <c r="CQ61" i="24" s="1"/>
  <c r="CP8" i="25" s="1"/>
  <c r="CQ20" i="24"/>
  <c r="H29" i="25"/>
  <c r="H30" i="25" s="1"/>
  <c r="G18" i="34" s="1"/>
  <c r="G16" i="34" s="1"/>
  <c r="G20" i="34" s="1"/>
  <c r="G21" i="34" s="1"/>
  <c r="CM36" i="24"/>
  <c r="CM59" i="24"/>
  <c r="CO35" i="24"/>
  <c r="CO61" i="24" s="1"/>
  <c r="CN8" i="25" s="1"/>
  <c r="CO20" i="24"/>
  <c r="CN28" i="24"/>
  <c r="CL18" i="26" s="1"/>
  <c r="CL25" i="26" s="1"/>
  <c r="J12" i="25"/>
  <c r="BM9" i="25"/>
  <c r="BM134" i="8" s="1"/>
  <c r="CS86" i="26"/>
  <c r="CS79" i="26"/>
  <c r="CV26" i="24"/>
  <c r="CV28" i="24" s="1"/>
  <c r="CT18" i="26" s="1"/>
  <c r="CT25" i="26" s="1"/>
  <c r="BS24" i="25"/>
  <c r="BS23" i="25"/>
  <c r="CR26" i="24"/>
  <c r="CR28" i="24" s="1"/>
  <c r="CP18" i="26" s="1"/>
  <c r="CP25" i="26" s="1"/>
  <c r="CQ26" i="24"/>
  <c r="CQ28" i="24" s="1"/>
  <c r="CO18" i="26" s="1"/>
  <c r="CO25" i="26" s="1"/>
  <c r="CM56" i="26"/>
  <c r="CM49" i="26"/>
  <c r="DR38" i="25"/>
  <c r="DR37" i="25"/>
  <c r="DS14" i="24"/>
  <c r="DS13" i="24"/>
  <c r="DQ38" i="25"/>
  <c r="DQ37" i="25"/>
  <c r="DR13" i="24"/>
  <c r="DR14" i="24"/>
  <c r="DS38" i="25"/>
  <c r="DS37" i="25"/>
  <c r="DT14" i="24"/>
  <c r="DT13" i="24"/>
  <c r="CQ86" i="26"/>
  <c r="CQ79" i="26"/>
  <c r="BH25" i="25"/>
  <c r="BH26" i="25" s="1"/>
  <c r="DA27" i="24"/>
  <c r="BT24" i="25"/>
  <c r="BT23" i="25"/>
  <c r="CE6" i="25"/>
  <c r="CE9" i="25" s="1"/>
  <c r="CE134" i="8" s="1"/>
  <c r="CF62" i="24"/>
  <c r="BZ6" i="25"/>
  <c r="BZ9" i="25" s="1"/>
  <c r="BZ134" i="8" s="1"/>
  <c r="BZ135" i="8" s="1"/>
  <c r="BZ139" i="8" s="1"/>
  <c r="BZ140" i="8" s="1"/>
  <c r="CA62" i="24"/>
  <c r="BR24" i="25"/>
  <c r="BR23" i="25"/>
  <c r="CI36" i="24"/>
  <c r="CC6" i="25"/>
  <c r="CC9" i="25" s="1"/>
  <c r="CC134" i="8" s="1"/>
  <c r="CC135" i="8" s="1"/>
  <c r="CC139" i="8" s="1"/>
  <c r="CD62" i="24"/>
  <c r="DG47" i="26"/>
  <c r="DI33" i="24"/>
  <c r="DG77" i="26"/>
  <c r="DG16" i="26"/>
  <c r="DL19" i="24"/>
  <c r="DB16" i="26"/>
  <c r="DB47" i="26"/>
  <c r="DD33" i="24"/>
  <c r="DB77" i="26"/>
  <c r="DG19" i="24"/>
  <c r="CT35" i="24"/>
  <c r="CT61" i="24" s="1"/>
  <c r="CS8" i="25" s="1"/>
  <c r="CT20" i="24"/>
  <c r="I15" i="25"/>
  <c r="H17" i="34" s="1"/>
  <c r="L45" i="24"/>
  <c r="L46" i="24" s="1"/>
  <c r="L67" i="24"/>
  <c r="BY7" i="25"/>
  <c r="K13" i="25" s="1"/>
  <c r="CT86" i="26"/>
  <c r="CT79" i="26"/>
  <c r="DB27" i="24"/>
  <c r="CZ27" i="24"/>
  <c r="BX23" i="25"/>
  <c r="BX24" i="25"/>
  <c r="CX17" i="26"/>
  <c r="CX48" i="26"/>
  <c r="CZ34" i="24"/>
  <c r="CZ60" i="24" s="1"/>
  <c r="CY7" i="25" s="1"/>
  <c r="DE27" i="24"/>
  <c r="CX78" i="26"/>
  <c r="CU86" i="26"/>
  <c r="CU79" i="26"/>
  <c r="J13" i="34" l="1"/>
  <c r="CV18" i="26"/>
  <c r="CV25" i="26" s="1"/>
  <c r="DF26" i="24"/>
  <c r="DF28" i="24" s="1"/>
  <c r="DD18" i="26" s="1"/>
  <c r="DD25" i="26" s="1"/>
  <c r="DB26" i="24"/>
  <c r="DB28" i="24" s="1"/>
  <c r="CZ18" i="26" s="1"/>
  <c r="CZ25" i="26" s="1"/>
  <c r="AU140" i="8"/>
  <c r="I11" i="34"/>
  <c r="CY28" i="24"/>
  <c r="CW18" i="26" s="1"/>
  <c r="CW25" i="26" s="1"/>
  <c r="CR36" i="24"/>
  <c r="J12" i="34"/>
  <c r="CJ136" i="8"/>
  <c r="CJ140" i="8" s="1"/>
  <c r="CE135" i="8"/>
  <c r="CE139" i="8" s="1"/>
  <c r="BS136" i="8"/>
  <c r="BS140" i="8" s="1"/>
  <c r="BM135" i="8"/>
  <c r="BT138" i="8"/>
  <c r="BT140" i="8" s="1"/>
  <c r="CF139" i="8"/>
  <c r="BG140" i="8"/>
  <c r="BW137" i="8"/>
  <c r="BW140" i="8" s="1"/>
  <c r="DH26" i="24"/>
  <c r="DH28" i="24" s="1"/>
  <c r="DF18" i="26" s="1"/>
  <c r="DF25" i="26" s="1"/>
  <c r="DJ26" i="24"/>
  <c r="DJ28" i="24" s="1"/>
  <c r="CU36" i="24"/>
  <c r="DE26" i="24"/>
  <c r="DE28" i="24" s="1"/>
  <c r="DC18" i="26" s="1"/>
  <c r="DC25" i="26" s="1"/>
  <c r="DA26" i="24"/>
  <c r="DA28" i="24" s="1"/>
  <c r="CY18" i="26" s="1"/>
  <c r="CY25" i="26" s="1"/>
  <c r="CS36" i="24"/>
  <c r="CQ36" i="24"/>
  <c r="CT36" i="24"/>
  <c r="J13" i="1"/>
  <c r="DI26" i="24"/>
  <c r="DI28" i="24" s="1"/>
  <c r="DG18" i="26" s="1"/>
  <c r="DG25" i="26" s="1"/>
  <c r="CP36" i="24"/>
  <c r="DL39" i="25"/>
  <c r="L69" i="24"/>
  <c r="J12" i="1"/>
  <c r="H17" i="1"/>
  <c r="DR39" i="25"/>
  <c r="DM39" i="25"/>
  <c r="K19" i="1"/>
  <c r="BN25" i="25"/>
  <c r="BN26" i="25" s="1"/>
  <c r="G18" i="1"/>
  <c r="I29" i="25"/>
  <c r="I30" i="25" s="1"/>
  <c r="H18" i="34" s="1"/>
  <c r="H16" i="34" s="1"/>
  <c r="H20" i="34" s="1"/>
  <c r="H21" i="34" s="1"/>
  <c r="BA26" i="25"/>
  <c r="BX25" i="25"/>
  <c r="BX26" i="25" s="1"/>
  <c r="K29" i="26"/>
  <c r="K96" i="26" s="1"/>
  <c r="BM25" i="25"/>
  <c r="BM26" i="25" s="1"/>
  <c r="I15" i="1"/>
  <c r="I11" i="1" s="1"/>
  <c r="J99" i="26"/>
  <c r="J15" i="34" s="1"/>
  <c r="CA128" i="8"/>
  <c r="CA120" i="8"/>
  <c r="BZ128" i="8"/>
  <c r="BZ120" i="8"/>
  <c r="CH128" i="8"/>
  <c r="CH120" i="8"/>
  <c r="DT39" i="25"/>
  <c r="BU25" i="25"/>
  <c r="BU26" i="25" s="1"/>
  <c r="CF120" i="8"/>
  <c r="CF128" i="8"/>
  <c r="CG128" i="8"/>
  <c r="CG120" i="8"/>
  <c r="CC128" i="8"/>
  <c r="CC120" i="8"/>
  <c r="CE128" i="8"/>
  <c r="CE120" i="8"/>
  <c r="CI128" i="8"/>
  <c r="CI120" i="8"/>
  <c r="CJ120" i="8"/>
  <c r="CJ128" i="8"/>
  <c r="DK39" i="25"/>
  <c r="BM128" i="8"/>
  <c r="BM120" i="8"/>
  <c r="DJ39" i="25"/>
  <c r="CD128" i="8"/>
  <c r="CD120" i="8"/>
  <c r="CB120" i="8"/>
  <c r="CB128" i="8"/>
  <c r="DB56" i="26"/>
  <c r="DB49" i="26"/>
  <c r="DQ16" i="26"/>
  <c r="DQ47" i="26"/>
  <c r="DQ77" i="26"/>
  <c r="DS33" i="24"/>
  <c r="CV86" i="26"/>
  <c r="CV79" i="26"/>
  <c r="EF38" i="25"/>
  <c r="EF37" i="25"/>
  <c r="CA23" i="25"/>
  <c r="CA24" i="25"/>
  <c r="DD20" i="24"/>
  <c r="DD35" i="24"/>
  <c r="DD61" i="24" s="1"/>
  <c r="DC8" i="25" s="1"/>
  <c r="CO6" i="25"/>
  <c r="CO9" i="25" s="1"/>
  <c r="CO134" i="8" s="1"/>
  <c r="CO135" i="8" s="1"/>
  <c r="CO139" i="8" s="1"/>
  <c r="CP62" i="24"/>
  <c r="DM16" i="26"/>
  <c r="DM77" i="26"/>
  <c r="DM47" i="26"/>
  <c r="DR19" i="24"/>
  <c r="DO33" i="24"/>
  <c r="K60" i="26"/>
  <c r="K97" i="26" s="1"/>
  <c r="CQ6" i="25"/>
  <c r="CQ9" i="25" s="1"/>
  <c r="CQ134" i="8" s="1"/>
  <c r="CR62" i="24"/>
  <c r="CE24" i="25"/>
  <c r="CE23" i="25"/>
  <c r="DR16" i="26"/>
  <c r="DR47" i="26"/>
  <c r="DT33" i="24"/>
  <c r="DR77" i="26"/>
  <c r="DE35" i="24"/>
  <c r="DE61" i="24" s="1"/>
  <c r="DD8" i="25" s="1"/>
  <c r="DE20" i="24"/>
  <c r="DZ38" i="25"/>
  <c r="DZ37" i="25"/>
  <c r="DA79" i="26"/>
  <c r="DA86" i="26"/>
  <c r="CY36" i="24"/>
  <c r="CY59" i="24"/>
  <c r="DH77" i="26"/>
  <c r="DL26" i="24"/>
  <c r="DH47" i="26"/>
  <c r="DJ33" i="24"/>
  <c r="DH16" i="26"/>
  <c r="DM19" i="24"/>
  <c r="DM26" i="24" s="1"/>
  <c r="DI16" i="26"/>
  <c r="DI47" i="26"/>
  <c r="DK33" i="24"/>
  <c r="DI77" i="26"/>
  <c r="DN19" i="24"/>
  <c r="CO62" i="24"/>
  <c r="CN6" i="25"/>
  <c r="CN9" i="25" s="1"/>
  <c r="CN134" i="8" s="1"/>
  <c r="CN135" i="8" s="1"/>
  <c r="CN139" i="8" s="1"/>
  <c r="CN140" i="8" s="1"/>
  <c r="CF24" i="25"/>
  <c r="CF23" i="25"/>
  <c r="DO47" i="26"/>
  <c r="DQ33" i="24"/>
  <c r="DO77" i="26"/>
  <c r="DO16" i="26"/>
  <c r="DT19" i="24"/>
  <c r="DM27" i="24"/>
  <c r="CM6" i="25"/>
  <c r="CM9" i="25" s="1"/>
  <c r="CM134" i="8" s="1"/>
  <c r="CM135" i="8" s="1"/>
  <c r="CM139" i="8" s="1"/>
  <c r="CM140" i="8" s="1"/>
  <c r="CN62" i="24"/>
  <c r="CB24" i="25"/>
  <c r="CB23" i="25"/>
  <c r="DV38" i="25"/>
  <c r="DV37" i="25"/>
  <c r="DC59" i="24"/>
  <c r="CH24" i="25"/>
  <c r="CH23" i="25"/>
  <c r="DC86" i="26"/>
  <c r="DC79" i="26"/>
  <c r="CS6" i="25"/>
  <c r="CS9" i="25" s="1"/>
  <c r="CS134" i="8" s="1"/>
  <c r="CS135" i="8" s="1"/>
  <c r="CT62" i="24"/>
  <c r="DG86" i="26"/>
  <c r="DG79" i="26"/>
  <c r="BZ24" i="25"/>
  <c r="BZ23" i="25"/>
  <c r="DD26" i="24"/>
  <c r="DD28" i="24" s="1"/>
  <c r="DB18" i="26" s="1"/>
  <c r="DB25" i="26" s="1"/>
  <c r="ED38" i="25"/>
  <c r="ED37" i="25"/>
  <c r="CZ36" i="24"/>
  <c r="CZ59" i="24"/>
  <c r="DO39" i="25"/>
  <c r="BP25" i="25"/>
  <c r="BP26" i="25" s="1"/>
  <c r="DH59" i="24"/>
  <c r="DK27" i="24"/>
  <c r="BY24" i="25"/>
  <c r="BY23" i="25"/>
  <c r="DB86" i="26"/>
  <c r="DB79" i="26"/>
  <c r="DK26" i="24"/>
  <c r="DI59" i="24"/>
  <c r="BR25" i="25"/>
  <c r="BR26" i="25" s="1"/>
  <c r="DR17" i="26"/>
  <c r="DR48" i="26"/>
  <c r="DT34" i="24"/>
  <c r="DT60" i="24" s="1"/>
  <c r="DS7" i="25" s="1"/>
  <c r="DR78" i="26"/>
  <c r="DQ39" i="25"/>
  <c r="DQ17" i="26"/>
  <c r="DQ48" i="26"/>
  <c r="DQ78" i="26"/>
  <c r="DS34" i="24"/>
  <c r="DS60" i="24" s="1"/>
  <c r="DR7" i="25" s="1"/>
  <c r="CL6" i="25"/>
  <c r="CL9" i="25" s="1"/>
  <c r="CL134" i="8" s="1"/>
  <c r="CL135" i="8" s="1"/>
  <c r="CL139" i="8" s="1"/>
  <c r="CL140" i="8" s="1"/>
  <c r="CM62" i="24"/>
  <c r="CJ24" i="25"/>
  <c r="CJ23" i="25"/>
  <c r="M43" i="25"/>
  <c r="L19" i="34" s="1"/>
  <c r="CZ28" i="24"/>
  <c r="CX18" i="26" s="1"/>
  <c r="CX25" i="26" s="1"/>
  <c r="CZ86" i="26"/>
  <c r="CZ79" i="26"/>
  <c r="DU38" i="25"/>
  <c r="DU37" i="25"/>
  <c r="DY38" i="25"/>
  <c r="DY37" i="25"/>
  <c r="DX38" i="25"/>
  <c r="DX37" i="25"/>
  <c r="CX86" i="26"/>
  <c r="CX79" i="26"/>
  <c r="CX56" i="26"/>
  <c r="CX49" i="26"/>
  <c r="DA56" i="26"/>
  <c r="DA49" i="26"/>
  <c r="DB35" i="24"/>
  <c r="DB61" i="24" s="1"/>
  <c r="DA8" i="25" s="1"/>
  <c r="DB20" i="24"/>
  <c r="DD56" i="26"/>
  <c r="DD49" i="26"/>
  <c r="DF59" i="24"/>
  <c r="DS47" i="26"/>
  <c r="DU33" i="24"/>
  <c r="DS77" i="26"/>
  <c r="DS16" i="26"/>
  <c r="DN16" i="26"/>
  <c r="DN47" i="26"/>
  <c r="DP33" i="24"/>
  <c r="DS19" i="24"/>
  <c r="DN77" i="26"/>
  <c r="DJ35" i="24"/>
  <c r="DJ20" i="24"/>
  <c r="CO36" i="24"/>
  <c r="CX61" i="24"/>
  <c r="CK6" i="25"/>
  <c r="CL62" i="24"/>
  <c r="M66" i="24"/>
  <c r="CI24" i="25"/>
  <c r="CI23" i="25"/>
  <c r="BO25" i="25"/>
  <c r="BO26" i="25" s="1"/>
  <c r="N44" i="24"/>
  <c r="CX60" i="24"/>
  <c r="CY86" i="26"/>
  <c r="CY79" i="26"/>
  <c r="CW62" i="24"/>
  <c r="CV6" i="25"/>
  <c r="CV9" i="25" s="1"/>
  <c r="CV134" i="8" s="1"/>
  <c r="CV135" i="8" s="1"/>
  <c r="BQ25" i="25"/>
  <c r="BQ26" i="25" s="1"/>
  <c r="DL78" i="26"/>
  <c r="DN34" i="24"/>
  <c r="DN60" i="24" s="1"/>
  <c r="DM7" i="25" s="1"/>
  <c r="DL17" i="26"/>
  <c r="DS27" i="24"/>
  <c r="DL48" i="26"/>
  <c r="DF79" i="26"/>
  <c r="DF86" i="26"/>
  <c r="DF56" i="26"/>
  <c r="DF49" i="26"/>
  <c r="DG26" i="24"/>
  <c r="DG28" i="24" s="1"/>
  <c r="DE18" i="26" s="1"/>
  <c r="DE25" i="26" s="1"/>
  <c r="DC56" i="26"/>
  <c r="DC49" i="26"/>
  <c r="BY9" i="25"/>
  <c r="BY134" i="8" s="1"/>
  <c r="K12" i="25"/>
  <c r="BV25" i="25"/>
  <c r="BV26" i="25" s="1"/>
  <c r="DP39" i="25"/>
  <c r="DO48" i="26"/>
  <c r="DQ34" i="24"/>
  <c r="DQ60" i="24" s="1"/>
  <c r="DP7" i="25" s="1"/>
  <c r="DO78" i="26"/>
  <c r="DO17" i="26"/>
  <c r="DJ16" i="26"/>
  <c r="DJ47" i="26"/>
  <c r="DL33" i="24"/>
  <c r="DJ77" i="26"/>
  <c r="DO19" i="24"/>
  <c r="DN39" i="25"/>
  <c r="DL27" i="24"/>
  <c r="CG24" i="25"/>
  <c r="CG23" i="25"/>
  <c r="DK47" i="26"/>
  <c r="DM33" i="24"/>
  <c r="DK77" i="26"/>
  <c r="DP19" i="24"/>
  <c r="DK16" i="26"/>
  <c r="CC24" i="25"/>
  <c r="CC23" i="25"/>
  <c r="DP77" i="26"/>
  <c r="DR33" i="24"/>
  <c r="DP47" i="26"/>
  <c r="DP16" i="26"/>
  <c r="DU19" i="24"/>
  <c r="CV56" i="26"/>
  <c r="CV49" i="26"/>
  <c r="DB59" i="24"/>
  <c r="M68" i="24"/>
  <c r="CK8" i="25"/>
  <c r="L14" i="25" s="1"/>
  <c r="EA38" i="25"/>
  <c r="EA37" i="25"/>
  <c r="CW86" i="26"/>
  <c r="CW79" i="26"/>
  <c r="DH78" i="26"/>
  <c r="DJ34" i="24"/>
  <c r="DH48" i="26"/>
  <c r="DO27" i="24"/>
  <c r="DH17" i="26"/>
  <c r="CY56" i="26"/>
  <c r="CY49" i="26"/>
  <c r="DL77" i="26"/>
  <c r="DN33" i="24"/>
  <c r="DL16" i="26"/>
  <c r="DQ19" i="24"/>
  <c r="DL47" i="26"/>
  <c r="CK7" i="25"/>
  <c r="L13" i="25" s="1"/>
  <c r="M67" i="24"/>
  <c r="CU6" i="25"/>
  <c r="CU9" i="25" s="1"/>
  <c r="CU134" i="8" s="1"/>
  <c r="CU135" i="8" s="1"/>
  <c r="CU139" i="8" s="1"/>
  <c r="CV62" i="24"/>
  <c r="DG35" i="24"/>
  <c r="DG61" i="24" s="1"/>
  <c r="DF8" i="25" s="1"/>
  <c r="DG20" i="24"/>
  <c r="J15" i="25"/>
  <c r="I17" i="34" s="1"/>
  <c r="M45" i="24"/>
  <c r="M46" i="24" s="1"/>
  <c r="EE37" i="25"/>
  <c r="EE38" i="25"/>
  <c r="DE56" i="26"/>
  <c r="DE49" i="26"/>
  <c r="DN27" i="24"/>
  <c r="DE59" i="24"/>
  <c r="DD59" i="24"/>
  <c r="DL20" i="24"/>
  <c r="DL35" i="24"/>
  <c r="DL61" i="24" s="1"/>
  <c r="DK8" i="25" s="1"/>
  <c r="DG56" i="26"/>
  <c r="DG49" i="26"/>
  <c r="BT25" i="25"/>
  <c r="BT26" i="25" s="1"/>
  <c r="DS39" i="25"/>
  <c r="DP78" i="26"/>
  <c r="DR34" i="24"/>
  <c r="DR60" i="24" s="1"/>
  <c r="DQ7" i="25" s="1"/>
  <c r="DP48" i="26"/>
  <c r="DP17" i="26"/>
  <c r="BS25" i="25"/>
  <c r="BS26" i="25" s="1"/>
  <c r="DA35" i="24"/>
  <c r="DA61" i="24" s="1"/>
  <c r="CZ8" i="25" s="1"/>
  <c r="DA20" i="24"/>
  <c r="CX36" i="24"/>
  <c r="N43" i="24"/>
  <c r="CX59" i="24"/>
  <c r="CZ56" i="26"/>
  <c r="CZ49" i="26"/>
  <c r="CR6" i="25"/>
  <c r="CR9" i="25" s="1"/>
  <c r="CR134" i="8" s="1"/>
  <c r="CR135" i="8" s="1"/>
  <c r="CR139" i="8" s="1"/>
  <c r="CS62" i="24"/>
  <c r="EC38" i="25"/>
  <c r="EC37" i="25"/>
  <c r="DW37" i="25"/>
  <c r="DW38" i="25"/>
  <c r="EB37" i="25"/>
  <c r="EB38" i="25"/>
  <c r="CT6" i="25"/>
  <c r="CT9" i="25" s="1"/>
  <c r="CT134" i="8" s="1"/>
  <c r="CT135" i="8" s="1"/>
  <c r="CT139" i="8" s="1"/>
  <c r="CT140" i="8" s="1"/>
  <c r="CU62" i="24"/>
  <c r="DC20" i="24"/>
  <c r="DC35" i="24"/>
  <c r="DC61" i="24" s="1"/>
  <c r="DB8" i="25" s="1"/>
  <c r="DF35" i="24"/>
  <c r="DF61" i="24" s="1"/>
  <c r="DE8" i="25" s="1"/>
  <c r="DF20" i="24"/>
  <c r="CW56" i="26"/>
  <c r="CW49" i="26"/>
  <c r="DI35" i="24"/>
  <c r="DI61" i="24" s="1"/>
  <c r="DH8" i="25" s="1"/>
  <c r="DI20" i="24"/>
  <c r="DD86" i="26"/>
  <c r="DD79" i="26"/>
  <c r="DS48" i="26"/>
  <c r="DU34" i="24"/>
  <c r="DU60" i="24" s="1"/>
  <c r="DT7" i="25" s="1"/>
  <c r="DS78" i="26"/>
  <c r="DS17" i="26"/>
  <c r="DN17" i="26"/>
  <c r="DN48" i="26"/>
  <c r="DP34" i="24"/>
  <c r="DP60" i="24" s="1"/>
  <c r="DO7" i="25" s="1"/>
  <c r="DN78" i="26"/>
  <c r="DU27" i="24"/>
  <c r="DI39" i="25"/>
  <c r="DI17" i="26"/>
  <c r="DI48" i="26"/>
  <c r="DP27" i="24"/>
  <c r="DI78" i="26"/>
  <c r="DK34" i="24"/>
  <c r="DK60" i="24" s="1"/>
  <c r="DJ7" i="25" s="1"/>
  <c r="DG59" i="24"/>
  <c r="DE86" i="26"/>
  <c r="DE79" i="26"/>
  <c r="DC26" i="24"/>
  <c r="DC28" i="24" s="1"/>
  <c r="DA18" i="26" s="1"/>
  <c r="DA25" i="26" s="1"/>
  <c r="DA59" i="24"/>
  <c r="CW36" i="24"/>
  <c r="CD24" i="25"/>
  <c r="CD23" i="25"/>
  <c r="DK35" i="24"/>
  <c r="DK61" i="24" s="1"/>
  <c r="DJ8" i="25" s="1"/>
  <c r="DK20" i="24"/>
  <c r="DH20" i="24"/>
  <c r="DH35" i="24"/>
  <c r="DH61" i="24" s="1"/>
  <c r="DG8" i="25" s="1"/>
  <c r="K90" i="26"/>
  <c r="K98" i="26" s="1"/>
  <c r="CP6" i="25"/>
  <c r="CP9" i="25" s="1"/>
  <c r="CP134" i="8" s="1"/>
  <c r="CP135" i="8" s="1"/>
  <c r="CQ62" i="24"/>
  <c r="DJ17" i="26"/>
  <c r="DJ48" i="26"/>
  <c r="DL34" i="24"/>
  <c r="DL60" i="24" s="1"/>
  <c r="DK7" i="25" s="1"/>
  <c r="DJ78" i="26"/>
  <c r="DQ27" i="24"/>
  <c r="DM17" i="26"/>
  <c r="DM78" i="26"/>
  <c r="DT27" i="24"/>
  <c r="DO34" i="24"/>
  <c r="DO60" i="24" s="1"/>
  <c r="DN7" i="25" s="1"/>
  <c r="DM48" i="26"/>
  <c r="BW25" i="25"/>
  <c r="BW26" i="25" s="1"/>
  <c r="CV36" i="24"/>
  <c r="DK48" i="26"/>
  <c r="DM34" i="24"/>
  <c r="DM60" i="24" s="1"/>
  <c r="DL7" i="25" s="1"/>
  <c r="DK78" i="26"/>
  <c r="DK17" i="26"/>
  <c r="DR27" i="24"/>
  <c r="DG36" i="24" l="1"/>
  <c r="K13" i="34"/>
  <c r="DS26" i="24"/>
  <c r="DS28" i="24" s="1"/>
  <c r="DQ18" i="26" s="1"/>
  <c r="DQ25" i="26" s="1"/>
  <c r="DP26" i="24"/>
  <c r="DP28" i="24" s="1"/>
  <c r="DN18" i="26" s="1"/>
  <c r="DN25" i="26" s="1"/>
  <c r="J11" i="34"/>
  <c r="K12" i="34"/>
  <c r="CI137" i="8"/>
  <c r="CI140" i="8" s="1"/>
  <c r="BM139" i="8"/>
  <c r="BM140" i="8" s="1"/>
  <c r="CE136" i="8"/>
  <c r="CC137" i="8" s="1"/>
  <c r="CC140" i="8" s="1"/>
  <c r="BY135" i="8"/>
  <c r="BY139" i="8" s="1"/>
  <c r="BY140" i="8" s="1"/>
  <c r="CF138" i="8"/>
  <c r="CF140" i="8" s="1"/>
  <c r="CP139" i="8"/>
  <c r="CP140" i="8" s="1"/>
  <c r="CV139" i="8"/>
  <c r="CS139" i="8"/>
  <c r="CS140" i="8" s="1"/>
  <c r="CQ135" i="8"/>
  <c r="CQ139" i="8" s="1"/>
  <c r="CV136" i="8"/>
  <c r="CU137" i="8" s="1"/>
  <c r="CU140" i="8" s="1"/>
  <c r="BQ137" i="8"/>
  <c r="BQ140" i="8" s="1"/>
  <c r="EF39" i="25"/>
  <c r="DB36" i="24"/>
  <c r="DR26" i="24"/>
  <c r="DR28" i="24" s="1"/>
  <c r="DP18" i="26" s="1"/>
  <c r="DP25" i="26" s="1"/>
  <c r="DN26" i="24"/>
  <c r="DN28" i="24" s="1"/>
  <c r="DL18" i="26" s="1"/>
  <c r="DL25" i="26" s="1"/>
  <c r="DL28" i="24"/>
  <c r="DJ18" i="26" s="1"/>
  <c r="DJ25" i="26" s="1"/>
  <c r="K13" i="1"/>
  <c r="DK28" i="24"/>
  <c r="DI18" i="26" s="1"/>
  <c r="DI25" i="26" s="1"/>
  <c r="DM28" i="24"/>
  <c r="DK18" i="26" s="1"/>
  <c r="DK25" i="26" s="1"/>
  <c r="EA39" i="25"/>
  <c r="DY39" i="25"/>
  <c r="I17" i="1"/>
  <c r="K12" i="1"/>
  <c r="L19" i="1"/>
  <c r="DZ39" i="25"/>
  <c r="CE25" i="25"/>
  <c r="CE26" i="25" s="1"/>
  <c r="L29" i="26"/>
  <c r="L96" i="26" s="1"/>
  <c r="CH25" i="25"/>
  <c r="CH26" i="25" s="1"/>
  <c r="CI25" i="25"/>
  <c r="CI26" i="25" s="1"/>
  <c r="J15" i="1"/>
  <c r="J11" i="1" s="1"/>
  <c r="CC25" i="25"/>
  <c r="CC26" i="25" s="1"/>
  <c r="BY25" i="25"/>
  <c r="BY26" i="25" s="1"/>
  <c r="K99" i="26"/>
  <c r="K15" i="34" s="1"/>
  <c r="BZ25" i="25"/>
  <c r="BZ26" i="25" s="1"/>
  <c r="CF25" i="25"/>
  <c r="CF26" i="25" s="1"/>
  <c r="H18" i="1"/>
  <c r="EB39" i="25"/>
  <c r="CR120" i="8"/>
  <c r="CR128" i="8"/>
  <c r="BY128" i="8"/>
  <c r="BY120" i="8"/>
  <c r="J29" i="25"/>
  <c r="J30" i="25" s="1"/>
  <c r="I18" i="34" s="1"/>
  <c r="I16" i="34" s="1"/>
  <c r="I20" i="34" s="1"/>
  <c r="I21" i="34" s="1"/>
  <c r="CV120" i="8"/>
  <c r="CV128" i="8"/>
  <c r="CL128" i="8"/>
  <c r="CL120" i="8"/>
  <c r="CM128" i="8"/>
  <c r="CM120" i="8"/>
  <c r="CQ128" i="8"/>
  <c r="CQ120" i="8"/>
  <c r="CO128" i="8"/>
  <c r="CO120" i="8"/>
  <c r="CT128" i="8"/>
  <c r="CT120" i="8"/>
  <c r="CU128" i="8"/>
  <c r="CU120" i="8"/>
  <c r="CN120" i="8"/>
  <c r="CN128" i="8"/>
  <c r="CS128" i="8"/>
  <c r="CS120" i="8"/>
  <c r="CP128" i="8"/>
  <c r="CP120" i="8"/>
  <c r="EC39" i="25"/>
  <c r="CG25" i="25"/>
  <c r="CG26" i="25" s="1"/>
  <c r="DX39" i="25"/>
  <c r="CJ25" i="25"/>
  <c r="CJ26" i="25" s="1"/>
  <c r="ED39" i="25"/>
  <c r="CB25" i="25"/>
  <c r="CB26" i="25" s="1"/>
  <c r="CP24" i="25"/>
  <c r="CP23" i="25"/>
  <c r="CZ6" i="25"/>
  <c r="CZ9" i="25" s="1"/>
  <c r="CZ134" i="8" s="1"/>
  <c r="CZ135" i="8" s="1"/>
  <c r="CZ139" i="8" s="1"/>
  <c r="CZ140" i="8" s="1"/>
  <c r="DA62" i="24"/>
  <c r="DC6" i="25"/>
  <c r="DC9" i="25" s="1"/>
  <c r="DC134" i="8" s="1"/>
  <c r="DD62" i="24"/>
  <c r="DE36" i="24"/>
  <c r="DQ35" i="24"/>
  <c r="DQ61" i="24" s="1"/>
  <c r="DP8" i="25" s="1"/>
  <c r="DQ20" i="24"/>
  <c r="L60" i="26"/>
  <c r="L97" i="26" s="1"/>
  <c r="DR59" i="24"/>
  <c r="DK86" i="26"/>
  <c r="DK79" i="26"/>
  <c r="M69" i="24"/>
  <c r="DU59" i="24"/>
  <c r="DE6" i="25"/>
  <c r="DE9" i="25" s="1"/>
  <c r="DE134" i="8" s="1"/>
  <c r="DE135" i="8" s="1"/>
  <c r="DF62" i="24"/>
  <c r="DH6" i="25"/>
  <c r="DH9" i="25" s="1"/>
  <c r="DH134" i="8" s="1"/>
  <c r="DH135" i="8" s="1"/>
  <c r="DH139" i="8" s="1"/>
  <c r="DI62" i="24"/>
  <c r="DI86" i="26"/>
  <c r="DI79" i="26"/>
  <c r="DF6" i="25"/>
  <c r="DF9" i="25" s="1"/>
  <c r="DF134" i="8" s="1"/>
  <c r="DF135" i="8" s="1"/>
  <c r="DF139" i="8" s="1"/>
  <c r="DF140" i="8" s="1"/>
  <c r="DG62" i="24"/>
  <c r="DW39" i="25"/>
  <c r="CW6" i="25"/>
  <c r="N66" i="24"/>
  <c r="CX62" i="24"/>
  <c r="DP86" i="26"/>
  <c r="DP79" i="26"/>
  <c r="DK56" i="26"/>
  <c r="DK49" i="26"/>
  <c r="DL59" i="24"/>
  <c r="DL36" i="24"/>
  <c r="K15" i="25"/>
  <c r="J17" i="34" s="1"/>
  <c r="CK9" i="25"/>
  <c r="CK134" i="8" s="1"/>
  <c r="L12" i="25"/>
  <c r="DN79" i="26"/>
  <c r="DN86" i="26"/>
  <c r="DN56" i="26"/>
  <c r="DN49" i="26"/>
  <c r="CL24" i="25"/>
  <c r="CL23" i="25"/>
  <c r="CY6" i="25"/>
  <c r="CY9" i="25" s="1"/>
  <c r="CY134" i="8" s="1"/>
  <c r="CY135" i="8" s="1"/>
  <c r="CY139" i="8" s="1"/>
  <c r="CY140" i="8" s="1"/>
  <c r="CZ62" i="24"/>
  <c r="CM24" i="25"/>
  <c r="CM23" i="25"/>
  <c r="DQ59" i="24"/>
  <c r="DI56" i="26"/>
  <c r="DI49" i="26"/>
  <c r="DJ36" i="24"/>
  <c r="O43" i="24"/>
  <c r="DJ59" i="24"/>
  <c r="CX6" i="25"/>
  <c r="CX9" i="25" s="1"/>
  <c r="CX134" i="8" s="1"/>
  <c r="CX135" i="8" s="1"/>
  <c r="CX139" i="8" s="1"/>
  <c r="CX140" i="8" s="1"/>
  <c r="CY62" i="24"/>
  <c r="DR56" i="26"/>
  <c r="DR49" i="26"/>
  <c r="DO59" i="24"/>
  <c r="L90" i="26"/>
  <c r="L98" i="26" s="1"/>
  <c r="DQ86" i="26"/>
  <c r="DQ79" i="26"/>
  <c r="CT24" i="25"/>
  <c r="CT23" i="25"/>
  <c r="DD36" i="24"/>
  <c r="DD6" i="25"/>
  <c r="DD9" i="25" s="1"/>
  <c r="DD134" i="8" s="1"/>
  <c r="DD135" i="8" s="1"/>
  <c r="DE62" i="24"/>
  <c r="EE39" i="25"/>
  <c r="DL56" i="26"/>
  <c r="DL49" i="26"/>
  <c r="DN59" i="24"/>
  <c r="DP56" i="26"/>
  <c r="DP49" i="26"/>
  <c r="DP20" i="24"/>
  <c r="DP35" i="24"/>
  <c r="DP61" i="24" s="1"/>
  <c r="DO8" i="25" s="1"/>
  <c r="DJ56" i="26"/>
  <c r="DJ49" i="26"/>
  <c r="CW7" i="25"/>
  <c r="M13" i="25" s="1"/>
  <c r="N67" i="24"/>
  <c r="CW8" i="25"/>
  <c r="M14" i="25" s="1"/>
  <c r="N68" i="24"/>
  <c r="DS20" i="24"/>
  <c r="DS35" i="24"/>
  <c r="DS61" i="24" s="1"/>
  <c r="DR8" i="25" s="1"/>
  <c r="DS86" i="26"/>
  <c r="DS79" i="26"/>
  <c r="DG6" i="25"/>
  <c r="DG9" i="25" s="1"/>
  <c r="DG134" i="8" s="1"/>
  <c r="DG135" i="8" s="1"/>
  <c r="DH62" i="24"/>
  <c r="CS24" i="25"/>
  <c r="CS23" i="25"/>
  <c r="DT20" i="24"/>
  <c r="DT35" i="24"/>
  <c r="DT61" i="24" s="1"/>
  <c r="DS8" i="25" s="1"/>
  <c r="DO56" i="26"/>
  <c r="DO49" i="26"/>
  <c r="DN35" i="24"/>
  <c r="DN61" i="24" s="1"/>
  <c r="DM8" i="25" s="1"/>
  <c r="DN20" i="24"/>
  <c r="DH56" i="26"/>
  <c r="DH49" i="26"/>
  <c r="CQ23" i="25"/>
  <c r="CQ24" i="25"/>
  <c r="DR35" i="24"/>
  <c r="DR61" i="24" s="1"/>
  <c r="DQ8" i="25" s="1"/>
  <c r="DR20" i="24"/>
  <c r="DU26" i="24"/>
  <c r="DU28" i="24" s="1"/>
  <c r="DS18" i="26" s="1"/>
  <c r="DS25" i="26" s="1"/>
  <c r="DQ56" i="26"/>
  <c r="DQ49" i="26"/>
  <c r="CR24" i="25"/>
  <c r="CR23" i="25"/>
  <c r="DL86" i="26"/>
  <c r="DL79" i="26"/>
  <c r="DO35" i="24"/>
  <c r="DO61" i="24" s="1"/>
  <c r="DN8" i="25" s="1"/>
  <c r="DO20" i="24"/>
  <c r="CV23" i="25"/>
  <c r="CV24" i="25"/>
  <c r="N45" i="24"/>
  <c r="N46" i="24" s="1"/>
  <c r="DH36" i="24"/>
  <c r="DB6" i="25"/>
  <c r="DB9" i="25" s="1"/>
  <c r="DB134" i="8" s="1"/>
  <c r="DB135" i="8" s="1"/>
  <c r="DB139" i="8" s="1"/>
  <c r="DB140" i="8" s="1"/>
  <c r="DC62" i="24"/>
  <c r="DM35" i="24"/>
  <c r="DM61" i="24" s="1"/>
  <c r="DL8" i="25" s="1"/>
  <c r="DM20" i="24"/>
  <c r="DR86" i="26"/>
  <c r="DR79" i="26"/>
  <c r="DM56" i="26"/>
  <c r="DM49" i="26"/>
  <c r="CO24" i="25"/>
  <c r="CO23" i="25"/>
  <c r="CD25" i="25"/>
  <c r="DA36" i="24"/>
  <c r="N43" i="25"/>
  <c r="M19" i="34" s="1"/>
  <c r="CU24" i="25"/>
  <c r="CU23" i="25"/>
  <c r="O44" i="24"/>
  <c r="DJ60" i="24"/>
  <c r="DA6" i="25"/>
  <c r="DA9" i="25" s="1"/>
  <c r="DA134" i="8" s="1"/>
  <c r="DA135" i="8" s="1"/>
  <c r="DA139" i="8" s="1"/>
  <c r="DB62" i="24"/>
  <c r="DU35" i="24"/>
  <c r="DU61" i="24" s="1"/>
  <c r="DT8" i="25" s="1"/>
  <c r="DU20" i="24"/>
  <c r="DT26" i="24"/>
  <c r="DT28" i="24" s="1"/>
  <c r="DR18" i="26" s="1"/>
  <c r="DR25" i="26" s="1"/>
  <c r="DO26" i="24"/>
  <c r="DO28" i="24" s="1"/>
  <c r="DM18" i="26" s="1"/>
  <c r="DM25" i="26" s="1"/>
  <c r="DM59" i="24"/>
  <c r="DJ86" i="26"/>
  <c r="DJ79" i="26"/>
  <c r="CK24" i="25"/>
  <c r="CK23" i="25"/>
  <c r="DJ61" i="24"/>
  <c r="DP59" i="24"/>
  <c r="DS56" i="26"/>
  <c r="DS49" i="26"/>
  <c r="DF36" i="24"/>
  <c r="DU39" i="25"/>
  <c r="DI36" i="24"/>
  <c r="DH18" i="26"/>
  <c r="DH25" i="26" s="1"/>
  <c r="DC36" i="24"/>
  <c r="DV39" i="25"/>
  <c r="DO86" i="26"/>
  <c r="DO79" i="26"/>
  <c r="CN23" i="25"/>
  <c r="CN24" i="25"/>
  <c r="DK36" i="24"/>
  <c r="DK59" i="24"/>
  <c r="DH86" i="26"/>
  <c r="DH79" i="26"/>
  <c r="DT59" i="24"/>
  <c r="DQ26" i="24"/>
  <c r="DQ28" i="24" s="1"/>
  <c r="DO18" i="26" s="1"/>
  <c r="DO25" i="26" s="1"/>
  <c r="DM86" i="26"/>
  <c r="DM79" i="26"/>
  <c r="CA25" i="25"/>
  <c r="CA26" i="25" s="1"/>
  <c r="DS59" i="24"/>
  <c r="L13" i="34" l="1"/>
  <c r="DP36" i="24"/>
  <c r="DQ36" i="24"/>
  <c r="K11" i="34"/>
  <c r="L12" i="34"/>
  <c r="CV140" i="8"/>
  <c r="CK135" i="8"/>
  <c r="CR138" i="8"/>
  <c r="CR140" i="8" s="1"/>
  <c r="CQ136" i="8"/>
  <c r="CO137" i="8" s="1"/>
  <c r="CO140" i="8" s="1"/>
  <c r="DD139" i="8"/>
  <c r="CE140" i="8"/>
  <c r="DH136" i="8"/>
  <c r="DH140" i="8" s="1"/>
  <c r="DC135" i="8"/>
  <c r="DC139" i="8" s="1"/>
  <c r="DE139" i="8"/>
  <c r="DE140" i="8" s="1"/>
  <c r="DG139" i="8"/>
  <c r="DO36" i="24"/>
  <c r="DT36" i="24"/>
  <c r="L13" i="1"/>
  <c r="L12" i="1"/>
  <c r="M19" i="1"/>
  <c r="J17" i="1"/>
  <c r="CP25" i="25"/>
  <c r="CP26" i="25" s="1"/>
  <c r="L99" i="26"/>
  <c r="I18" i="1"/>
  <c r="K15" i="1"/>
  <c r="K11" i="1" s="1"/>
  <c r="K29" i="25"/>
  <c r="K30" i="25" s="1"/>
  <c r="J18" i="34" s="1"/>
  <c r="J16" i="34" s="1"/>
  <c r="J20" i="34" s="1"/>
  <c r="J21" i="34" s="1"/>
  <c r="CD26" i="25"/>
  <c r="CX128" i="8"/>
  <c r="CX120" i="8"/>
  <c r="DE128" i="8"/>
  <c r="DE120" i="8"/>
  <c r="CK25" i="25"/>
  <c r="CK26" i="25" s="1"/>
  <c r="DA128" i="8"/>
  <c r="DA120" i="8"/>
  <c r="DB128" i="8"/>
  <c r="DB120" i="8"/>
  <c r="CS25" i="25"/>
  <c r="CS26" i="25" s="1"/>
  <c r="CZ128" i="8"/>
  <c r="CZ120" i="8"/>
  <c r="DH128" i="8"/>
  <c r="DH120" i="8"/>
  <c r="DC128" i="8"/>
  <c r="DC120" i="8"/>
  <c r="CK128" i="8"/>
  <c r="CK120" i="8"/>
  <c r="CU25" i="25"/>
  <c r="CU26" i="25" s="1"/>
  <c r="CO25" i="25"/>
  <c r="CO26" i="25" s="1"/>
  <c r="DG128" i="8"/>
  <c r="DG120" i="8"/>
  <c r="DD120" i="8"/>
  <c r="DD128" i="8"/>
  <c r="CY128" i="8"/>
  <c r="CY120" i="8"/>
  <c r="DF128" i="8"/>
  <c r="DF120" i="8"/>
  <c r="DI8" i="25"/>
  <c r="N14" i="25" s="1"/>
  <c r="O68" i="24"/>
  <c r="M60" i="26"/>
  <c r="M97" i="26" s="1"/>
  <c r="O45" i="24"/>
  <c r="DI7" i="25"/>
  <c r="N13" i="25" s="1"/>
  <c r="O67" i="24"/>
  <c r="CV25" i="25"/>
  <c r="CV26" i="25" s="1"/>
  <c r="DS36" i="24"/>
  <c r="DS6" i="25"/>
  <c r="DS9" i="25" s="1"/>
  <c r="DS134" i="8" s="1"/>
  <c r="DS135" i="8" s="1"/>
  <c r="DT62" i="24"/>
  <c r="DO6" i="25"/>
  <c r="DO9" i="25" s="1"/>
  <c r="DO134" i="8" s="1"/>
  <c r="DP62" i="24"/>
  <c r="DM36" i="24"/>
  <c r="CQ25" i="25"/>
  <c r="CQ26" i="25" s="1"/>
  <c r="DM6" i="25"/>
  <c r="DM9" i="25" s="1"/>
  <c r="DM134" i="8" s="1"/>
  <c r="DM135" i="8" s="1"/>
  <c r="DM139" i="8" s="1"/>
  <c r="DN62" i="24"/>
  <c r="CX24" i="25"/>
  <c r="CX23" i="25"/>
  <c r="CY24" i="25"/>
  <c r="CY23" i="25"/>
  <c r="DK6" i="25"/>
  <c r="DK9" i="25" s="1"/>
  <c r="DK134" i="8" s="1"/>
  <c r="DK135" i="8" s="1"/>
  <c r="DK139" i="8" s="1"/>
  <c r="DK140" i="8" s="1"/>
  <c r="DL62" i="24"/>
  <c r="DJ6" i="25"/>
  <c r="DJ9" i="25" s="1"/>
  <c r="DJ134" i="8" s="1"/>
  <c r="DJ135" i="8" s="1"/>
  <c r="DJ139" i="8" s="1"/>
  <c r="DJ140" i="8" s="1"/>
  <c r="DK62" i="24"/>
  <c r="DD23" i="25"/>
  <c r="DD24" i="25"/>
  <c r="O66" i="24"/>
  <c r="DI6" i="25"/>
  <c r="DJ62" i="24"/>
  <c r="CW24" i="25"/>
  <c r="CW23" i="25"/>
  <c r="DU62" i="24"/>
  <c r="DT6" i="25"/>
  <c r="DT9" i="25" s="1"/>
  <c r="DT134" i="8" s="1"/>
  <c r="DT135" i="8" s="1"/>
  <c r="DT139" i="8" s="1"/>
  <c r="DQ6" i="25"/>
  <c r="DQ9" i="25" s="1"/>
  <c r="DQ134" i="8" s="1"/>
  <c r="DQ135" i="8" s="1"/>
  <c r="DQ139" i="8" s="1"/>
  <c r="DQ140" i="8" s="1"/>
  <c r="DR62" i="24"/>
  <c r="DR6" i="25"/>
  <c r="DR9" i="25" s="1"/>
  <c r="DR134" i="8" s="1"/>
  <c r="DR135" i="8" s="1"/>
  <c r="DS62" i="24"/>
  <c r="DL6" i="25"/>
  <c r="DL9" i="25" s="1"/>
  <c r="DL134" i="8" s="1"/>
  <c r="DL135" i="8" s="1"/>
  <c r="DL139" i="8" s="1"/>
  <c r="DL140" i="8" s="1"/>
  <c r="DM62" i="24"/>
  <c r="DG23" i="25"/>
  <c r="DG24" i="25"/>
  <c r="M12" i="25"/>
  <c r="CW9" i="25"/>
  <c r="CW134" i="8" s="1"/>
  <c r="DF24" i="25"/>
  <c r="DF23" i="25"/>
  <c r="DE24" i="25"/>
  <c r="DE23" i="25"/>
  <c r="M90" i="26"/>
  <c r="M98" i="26" s="1"/>
  <c r="CN25" i="25"/>
  <c r="CN26" i="25" s="1"/>
  <c r="M29" i="26"/>
  <c r="M96" i="26" s="1"/>
  <c r="DA24" i="25"/>
  <c r="DA23" i="25"/>
  <c r="DB24" i="25"/>
  <c r="DB23" i="25"/>
  <c r="CR25" i="25"/>
  <c r="CR26" i="25" s="1"/>
  <c r="DN36" i="24"/>
  <c r="CT25" i="25"/>
  <c r="CT26" i="25" s="1"/>
  <c r="DP6" i="25"/>
  <c r="DP9" i="25" s="1"/>
  <c r="DP134" i="8" s="1"/>
  <c r="DP135" i="8" s="1"/>
  <c r="DP139" i="8" s="1"/>
  <c r="DQ62" i="24"/>
  <c r="CM25" i="25"/>
  <c r="CM26" i="25" s="1"/>
  <c r="CL25" i="25"/>
  <c r="CL26" i="25" s="1"/>
  <c r="DH24" i="25"/>
  <c r="DH23" i="25"/>
  <c r="CZ24" i="25"/>
  <c r="CZ23" i="25"/>
  <c r="DN6" i="25"/>
  <c r="DN9" i="25" s="1"/>
  <c r="DN134" i="8" s="1"/>
  <c r="DN135" i="8" s="1"/>
  <c r="DN139" i="8" s="1"/>
  <c r="DN140" i="8" s="1"/>
  <c r="DO62" i="24"/>
  <c r="O46" i="24"/>
  <c r="L15" i="25"/>
  <c r="K17" i="34" s="1"/>
  <c r="N69" i="24"/>
  <c r="DU36" i="24"/>
  <c r="DR36" i="24"/>
  <c r="DC24" i="25"/>
  <c r="DC23" i="25"/>
  <c r="M13" i="34" l="1"/>
  <c r="M12" i="34"/>
  <c r="L15" i="1"/>
  <c r="L11" i="1" s="1"/>
  <c r="L15" i="34"/>
  <c r="L11" i="34" s="1"/>
  <c r="DR139" i="8"/>
  <c r="DR140" i="8" s="1"/>
  <c r="DO135" i="8"/>
  <c r="DO139" i="8" s="1"/>
  <c r="DT136" i="8"/>
  <c r="DT140" i="8" s="1"/>
  <c r="DD138" i="8"/>
  <c r="DD140" i="8" s="1"/>
  <c r="CW135" i="8"/>
  <c r="CW139" i="8" s="1"/>
  <c r="CW140" i="8" s="1"/>
  <c r="DC136" i="8"/>
  <c r="DA137" i="8" s="1"/>
  <c r="DA140" i="8" s="1"/>
  <c r="DS139" i="8"/>
  <c r="CQ140" i="8"/>
  <c r="DG137" i="8"/>
  <c r="DG140" i="8" s="1"/>
  <c r="CK139" i="8"/>
  <c r="CK140" i="8" s="1"/>
  <c r="M13" i="1"/>
  <c r="K17" i="1"/>
  <c r="O69" i="24"/>
  <c r="M12" i="1"/>
  <c r="CX25" i="25"/>
  <c r="CX26" i="25" s="1"/>
  <c r="J18" i="1"/>
  <c r="CZ25" i="25"/>
  <c r="CZ26" i="25" s="1"/>
  <c r="M99" i="26"/>
  <c r="M15" i="34" s="1"/>
  <c r="DE25" i="25"/>
  <c r="DE26" i="25" s="1"/>
  <c r="CW128" i="8"/>
  <c r="CW120" i="8"/>
  <c r="DD25" i="25"/>
  <c r="DD26" i="25" s="1"/>
  <c r="DP128" i="8"/>
  <c r="DP120" i="8"/>
  <c r="DF25" i="25"/>
  <c r="DF26" i="25" s="1"/>
  <c r="DR128" i="8"/>
  <c r="DR120" i="8"/>
  <c r="DQ128" i="8"/>
  <c r="DQ120" i="8"/>
  <c r="CW25" i="25"/>
  <c r="DS128" i="8"/>
  <c r="DS120" i="8"/>
  <c r="DL128" i="8"/>
  <c r="DL120" i="8"/>
  <c r="DM128" i="8"/>
  <c r="DM120" i="8"/>
  <c r="DK128" i="8"/>
  <c r="DK120" i="8"/>
  <c r="DO128" i="8"/>
  <c r="DO120" i="8"/>
  <c r="DN128" i="8"/>
  <c r="DN120" i="8"/>
  <c r="L29" i="25"/>
  <c r="L30" i="25" s="1"/>
  <c r="K18" i="34" s="1"/>
  <c r="K16" i="34" s="1"/>
  <c r="K20" i="34" s="1"/>
  <c r="K21" i="34" s="1"/>
  <c r="DT120" i="8"/>
  <c r="DT128" i="8"/>
  <c r="DJ128" i="8"/>
  <c r="DJ120" i="8"/>
  <c r="CY25" i="25"/>
  <c r="CY26" i="25" s="1"/>
  <c r="DH25" i="25"/>
  <c r="DH26" i="25" s="1"/>
  <c r="DG25" i="25"/>
  <c r="DG26" i="25" s="1"/>
  <c r="DT23" i="25"/>
  <c r="DT24" i="25"/>
  <c r="N12" i="25"/>
  <c r="DI9" i="25"/>
  <c r="DI134" i="8" s="1"/>
  <c r="DK24" i="25"/>
  <c r="DK23" i="25"/>
  <c r="DM24" i="25"/>
  <c r="DM23" i="25"/>
  <c r="DC25" i="25"/>
  <c r="DC26" i="25" s="1"/>
  <c r="DB25" i="25"/>
  <c r="DB26" i="25" s="1"/>
  <c r="DA25" i="25"/>
  <c r="DA26" i="25" s="1"/>
  <c r="M15" i="25"/>
  <c r="L17" i="34" s="1"/>
  <c r="DR24" i="25"/>
  <c r="DR23" i="25"/>
  <c r="DQ24" i="25"/>
  <c r="DQ23" i="25"/>
  <c r="DS24" i="25"/>
  <c r="DS23" i="25"/>
  <c r="DN24" i="25"/>
  <c r="DN23" i="25"/>
  <c r="DP24" i="25"/>
  <c r="DP23" i="25"/>
  <c r="DJ24" i="25"/>
  <c r="DJ23" i="25"/>
  <c r="DL24" i="25"/>
  <c r="DL23" i="25"/>
  <c r="DI24" i="25"/>
  <c r="DI23" i="25"/>
  <c r="DO24" i="25"/>
  <c r="DO23" i="25"/>
  <c r="M11" i="34" l="1"/>
  <c r="DI135" i="8"/>
  <c r="DO136" i="8"/>
  <c r="DM137" i="8" s="1"/>
  <c r="DM140" i="8" s="1"/>
  <c r="DP138" i="8"/>
  <c r="DP140" i="8" s="1"/>
  <c r="DC140" i="8"/>
  <c r="DS137" i="8"/>
  <c r="DS140" i="8" s="1"/>
  <c r="DM25" i="25"/>
  <c r="DM26" i="25" s="1"/>
  <c r="L17" i="1"/>
  <c r="DS25" i="25"/>
  <c r="DS26" i="25" s="1"/>
  <c r="DR25" i="25"/>
  <c r="DR26" i="25" s="1"/>
  <c r="DT25" i="25"/>
  <c r="DT26" i="25" s="1"/>
  <c r="K18" i="1"/>
  <c r="M29" i="25"/>
  <c r="M30" i="25" s="1"/>
  <c r="L18" i="34" s="1"/>
  <c r="L16" i="34" s="1"/>
  <c r="L20" i="34" s="1"/>
  <c r="L21" i="34" s="1"/>
  <c r="CW26" i="25"/>
  <c r="DK25" i="25"/>
  <c r="DK26" i="25" s="1"/>
  <c r="M15" i="1"/>
  <c r="M11" i="1" s="1"/>
  <c r="DI128" i="8"/>
  <c r="DI120" i="8"/>
  <c r="DO25" i="25"/>
  <c r="DO26" i="25" s="1"/>
  <c r="DI25" i="25"/>
  <c r="DI26" i="25" s="1"/>
  <c r="DP25" i="25"/>
  <c r="DP26" i="25" s="1"/>
  <c r="DN25" i="25"/>
  <c r="DN26" i="25" s="1"/>
  <c r="DQ25" i="25"/>
  <c r="DQ26" i="25" s="1"/>
  <c r="N15" i="25"/>
  <c r="M17" i="34" s="1"/>
  <c r="DL25" i="25"/>
  <c r="DJ25" i="25"/>
  <c r="DJ26" i="25" s="1"/>
  <c r="DI139" i="8" l="1"/>
  <c r="DI140" i="8" s="1"/>
  <c r="DO140" i="8"/>
  <c r="M17" i="1"/>
  <c r="L18" i="1"/>
  <c r="N29" i="25"/>
  <c r="N30" i="25" s="1"/>
  <c r="M18" i="34" s="1"/>
  <c r="M16" i="34" s="1"/>
  <c r="M20" i="34" s="1"/>
  <c r="M21" i="34" s="1"/>
  <c r="DL26" i="25"/>
  <c r="M18" i="1" l="1"/>
  <c r="E107" i="8"/>
  <c r="F107" i="8" s="1"/>
  <c r="DI101" i="8"/>
  <c r="CW101" i="8"/>
  <c r="CK101" i="8"/>
  <c r="BY101" i="8"/>
  <c r="BY104" i="8" s="1"/>
  <c r="BM101" i="8"/>
  <c r="BM104" i="8" s="1"/>
  <c r="BA101" i="8"/>
  <c r="AO101" i="8"/>
  <c r="AC101" i="8"/>
  <c r="AC104" i="8" s="1"/>
  <c r="Q101" i="8"/>
  <c r="DM93" i="8"/>
  <c r="DN93" i="8" s="1"/>
  <c r="DA93" i="8"/>
  <c r="DB93" i="8" s="1"/>
  <c r="CO93" i="8"/>
  <c r="CP93" i="8" s="1"/>
  <c r="CC93" i="8"/>
  <c r="CD93" i="8" s="1"/>
  <c r="BQ93" i="8"/>
  <c r="BR93" i="8" s="1"/>
  <c r="BE93" i="8"/>
  <c r="BF93" i="8" s="1"/>
  <c r="AS93" i="8"/>
  <c r="AT93" i="8" s="1"/>
  <c r="AG93" i="8"/>
  <c r="AH93" i="8" s="1"/>
  <c r="U93" i="8"/>
  <c r="V93" i="8" s="1"/>
  <c r="F93" i="8"/>
  <c r="G93" i="8" s="1"/>
  <c r="DM92" i="8"/>
  <c r="DN92" i="8" s="1"/>
  <c r="DA92" i="8"/>
  <c r="DB92" i="8" s="1"/>
  <c r="CO92" i="8"/>
  <c r="CP92" i="8" s="1"/>
  <c r="CC92" i="8"/>
  <c r="CD92" i="8" s="1"/>
  <c r="BQ92" i="8"/>
  <c r="BR92" i="8" s="1"/>
  <c r="BE92" i="8"/>
  <c r="BF92" i="8" s="1"/>
  <c r="AS92" i="8"/>
  <c r="AT92" i="8" s="1"/>
  <c r="AG92" i="8"/>
  <c r="AH92" i="8" s="1"/>
  <c r="U92" i="8"/>
  <c r="V92" i="8" s="1"/>
  <c r="F92" i="8"/>
  <c r="G92" i="8" s="1"/>
  <c r="DM91" i="8"/>
  <c r="DN91" i="8" s="1"/>
  <c r="DA91" i="8"/>
  <c r="DB91" i="8" s="1"/>
  <c r="CO91" i="8"/>
  <c r="CP91" i="8" s="1"/>
  <c r="CC91" i="8"/>
  <c r="CD91" i="8" s="1"/>
  <c r="BQ91" i="8"/>
  <c r="BR91" i="8" s="1"/>
  <c r="BE91" i="8"/>
  <c r="BF91" i="8" s="1"/>
  <c r="AS91" i="8"/>
  <c r="AT91" i="8" s="1"/>
  <c r="AG91" i="8"/>
  <c r="AH91" i="8" s="1"/>
  <c r="U91" i="8"/>
  <c r="V91" i="8" s="1"/>
  <c r="F91" i="8"/>
  <c r="G91" i="8" s="1"/>
  <c r="DM90" i="8"/>
  <c r="DN90" i="8" s="1"/>
  <c r="DA90" i="8"/>
  <c r="DB90" i="8" s="1"/>
  <c r="CO90" i="8"/>
  <c r="CP90" i="8" s="1"/>
  <c r="CC90" i="8"/>
  <c r="CD90" i="8" s="1"/>
  <c r="BQ90" i="8"/>
  <c r="BR90" i="8" s="1"/>
  <c r="BE90" i="8"/>
  <c r="BF90" i="8" s="1"/>
  <c r="AS90" i="8"/>
  <c r="AT90" i="8" s="1"/>
  <c r="AG90" i="8"/>
  <c r="AH90" i="8" s="1"/>
  <c r="U90" i="8"/>
  <c r="V90" i="8" s="1"/>
  <c r="F90" i="8"/>
  <c r="G90" i="8" s="1"/>
  <c r="DM89" i="8"/>
  <c r="DN89" i="8" s="1"/>
  <c r="DA89" i="8"/>
  <c r="DB89" i="8" s="1"/>
  <c r="CO89" i="8"/>
  <c r="CP89" i="8" s="1"/>
  <c r="CC89" i="8"/>
  <c r="CD89" i="8" s="1"/>
  <c r="BQ89" i="8"/>
  <c r="BR89" i="8" s="1"/>
  <c r="BE89" i="8"/>
  <c r="BF89" i="8" s="1"/>
  <c r="AS89" i="8"/>
  <c r="AT89" i="8" s="1"/>
  <c r="AG89" i="8"/>
  <c r="AH89" i="8" s="1"/>
  <c r="U89" i="8"/>
  <c r="V89" i="8" s="1"/>
  <c r="F89" i="8"/>
  <c r="G89" i="8" s="1"/>
  <c r="DM88" i="8"/>
  <c r="DN88" i="8" s="1"/>
  <c r="DA88" i="8"/>
  <c r="DB88" i="8" s="1"/>
  <c r="CO88" i="8"/>
  <c r="CP88" i="8" s="1"/>
  <c r="CC88" i="8"/>
  <c r="CD88" i="8" s="1"/>
  <c r="BQ88" i="8"/>
  <c r="BR88" i="8" s="1"/>
  <c r="BE88" i="8"/>
  <c r="BF88" i="8" s="1"/>
  <c r="AS88" i="8"/>
  <c r="AT88" i="8" s="1"/>
  <c r="AG88" i="8"/>
  <c r="AH88" i="8" s="1"/>
  <c r="U88" i="8"/>
  <c r="V88" i="8" s="1"/>
  <c r="F88" i="8"/>
  <c r="G88" i="8" s="1"/>
  <c r="DM87" i="8"/>
  <c r="DN87" i="8" s="1"/>
  <c r="DA87" i="8"/>
  <c r="DB87" i="8" s="1"/>
  <c r="CO87" i="8"/>
  <c r="CP87" i="8" s="1"/>
  <c r="CC87" i="8"/>
  <c r="CD87" i="8" s="1"/>
  <c r="BQ87" i="8"/>
  <c r="BR87" i="8" s="1"/>
  <c r="BE87" i="8"/>
  <c r="BF87" i="8" s="1"/>
  <c r="AS87" i="8"/>
  <c r="AT87" i="8" s="1"/>
  <c r="AG87" i="8"/>
  <c r="AH87" i="8" s="1"/>
  <c r="U87" i="8"/>
  <c r="V87" i="8" s="1"/>
  <c r="F87" i="8"/>
  <c r="G87" i="8" s="1"/>
  <c r="DM86" i="8"/>
  <c r="DN86" i="8" s="1"/>
  <c r="DA86" i="8"/>
  <c r="DB86" i="8" s="1"/>
  <c r="CO86" i="8"/>
  <c r="CP86" i="8" s="1"/>
  <c r="CC86" i="8"/>
  <c r="CD86" i="8" s="1"/>
  <c r="BQ86" i="8"/>
  <c r="BR86" i="8" s="1"/>
  <c r="BE86" i="8"/>
  <c r="BF86" i="8" s="1"/>
  <c r="AS86" i="8"/>
  <c r="AT86" i="8" s="1"/>
  <c r="AG86" i="8"/>
  <c r="AH86" i="8" s="1"/>
  <c r="U86" i="8"/>
  <c r="V86" i="8" s="1"/>
  <c r="F86" i="8"/>
  <c r="G86" i="8" s="1"/>
  <c r="DM85" i="8"/>
  <c r="DN85" i="8" s="1"/>
  <c r="DA85" i="8"/>
  <c r="DB85" i="8" s="1"/>
  <c r="CO85" i="8"/>
  <c r="CP85" i="8" s="1"/>
  <c r="CC85" i="8"/>
  <c r="CD85" i="8" s="1"/>
  <c r="BQ85" i="8"/>
  <c r="BR85" i="8" s="1"/>
  <c r="BE85" i="8"/>
  <c r="BF85" i="8" s="1"/>
  <c r="AS85" i="8"/>
  <c r="AT85" i="8" s="1"/>
  <c r="AG85" i="8"/>
  <c r="AH85" i="8" s="1"/>
  <c r="U85" i="8"/>
  <c r="V85" i="8" s="1"/>
  <c r="F85" i="8"/>
  <c r="G85" i="8" s="1"/>
  <c r="DM83" i="8"/>
  <c r="DN83" i="8" s="1"/>
  <c r="DA83" i="8"/>
  <c r="DB83" i="8" s="1"/>
  <c r="CO83" i="8"/>
  <c r="CP83" i="8" s="1"/>
  <c r="CC83" i="8"/>
  <c r="CD83" i="8" s="1"/>
  <c r="BQ83" i="8"/>
  <c r="BR83" i="8" s="1"/>
  <c r="BE83" i="8"/>
  <c r="BF83" i="8" s="1"/>
  <c r="AS83" i="8"/>
  <c r="AT83" i="8" s="1"/>
  <c r="AG83" i="8"/>
  <c r="AH83" i="8" s="1"/>
  <c r="U83" i="8"/>
  <c r="V83" i="8" s="1"/>
  <c r="F83" i="8"/>
  <c r="G83" i="8" s="1"/>
  <c r="DM82" i="8"/>
  <c r="DN82" i="8" s="1"/>
  <c r="DA82" i="8"/>
  <c r="DB82" i="8" s="1"/>
  <c r="CO82" i="8"/>
  <c r="CP82" i="8" s="1"/>
  <c r="CC82" i="8"/>
  <c r="CD82" i="8" s="1"/>
  <c r="BQ82" i="8"/>
  <c r="BR82" i="8" s="1"/>
  <c r="BE82" i="8"/>
  <c r="BF82" i="8" s="1"/>
  <c r="AS82" i="8"/>
  <c r="AT82" i="8" s="1"/>
  <c r="AG82" i="8"/>
  <c r="AH82" i="8" s="1"/>
  <c r="U82" i="8"/>
  <c r="V82" i="8" s="1"/>
  <c r="F82" i="8"/>
  <c r="G82" i="8" s="1"/>
  <c r="DM81" i="8"/>
  <c r="DN81" i="8" s="1"/>
  <c r="DA81" i="8"/>
  <c r="DB81" i="8" s="1"/>
  <c r="CO81" i="8"/>
  <c r="CP81" i="8" s="1"/>
  <c r="CC81" i="8"/>
  <c r="CD81" i="8" s="1"/>
  <c r="BQ81" i="8"/>
  <c r="BR81" i="8" s="1"/>
  <c r="BE81" i="8"/>
  <c r="BF81" i="8" s="1"/>
  <c r="AS81" i="8"/>
  <c r="AT81" i="8" s="1"/>
  <c r="AH81" i="8"/>
  <c r="U81" i="8"/>
  <c r="V81" i="8" s="1"/>
  <c r="F81" i="8"/>
  <c r="G81" i="8" s="1"/>
  <c r="AP101" i="8" l="1"/>
  <c r="AO104" i="8"/>
  <c r="CL101" i="8"/>
  <c r="CK104" i="8"/>
  <c r="BB101" i="8"/>
  <c r="BA104" i="8"/>
  <c r="CX101" i="8"/>
  <c r="CW104" i="8"/>
  <c r="R101" i="8"/>
  <c r="Q104" i="8"/>
  <c r="DJ101" i="8"/>
  <c r="DI104" i="8"/>
  <c r="E113" i="8"/>
  <c r="F113" i="8" s="1"/>
  <c r="G113" i="8" s="1"/>
  <c r="G117" i="8" s="1"/>
  <c r="BA147" i="8"/>
  <c r="BY119" i="8"/>
  <c r="BZ119" i="8" s="1"/>
  <c r="BZ121" i="8" s="1"/>
  <c r="BZ125" i="8" s="1"/>
  <c r="E157" i="8"/>
  <c r="E161" i="8" s="1"/>
  <c r="BA127" i="8"/>
  <c r="BB127" i="8" s="1"/>
  <c r="Q167" i="8"/>
  <c r="Q169" i="8" s="1"/>
  <c r="Q170" i="8" s="1"/>
  <c r="E147" i="8"/>
  <c r="E119" i="8"/>
  <c r="CK119" i="8"/>
  <c r="CL119" i="8" s="1"/>
  <c r="CL121" i="8" s="1"/>
  <c r="CL125" i="8" s="1"/>
  <c r="E141" i="8"/>
  <c r="F141" i="8" s="1"/>
  <c r="F145" i="8" s="1"/>
  <c r="F146" i="8" s="1"/>
  <c r="Q147" i="8"/>
  <c r="BM147" i="8"/>
  <c r="BM150" i="8" s="1"/>
  <c r="CW153" i="8"/>
  <c r="CX153" i="8" s="1"/>
  <c r="CY153" i="8" s="1"/>
  <c r="CZ153" i="8" s="1"/>
  <c r="E163" i="8"/>
  <c r="F163" i="8" s="1"/>
  <c r="G163" i="8" s="1"/>
  <c r="G165" i="8" s="1"/>
  <c r="G166" i="8" s="1"/>
  <c r="AC167" i="8"/>
  <c r="AD167" i="8" s="1"/>
  <c r="AD169" i="8" s="1"/>
  <c r="AD170" i="8" s="1"/>
  <c r="CK171" i="8"/>
  <c r="CL171" i="8" s="1"/>
  <c r="Q113" i="8"/>
  <c r="E127" i="8"/>
  <c r="F127" i="8" s="1"/>
  <c r="AC141" i="8"/>
  <c r="AC147" i="8"/>
  <c r="AC151" i="8" s="1"/>
  <c r="E153" i="8"/>
  <c r="F153" i="8" s="1"/>
  <c r="BA157" i="8"/>
  <c r="BM167" i="8"/>
  <c r="BN167" i="8" s="1"/>
  <c r="CW171" i="8"/>
  <c r="CX171" i="8" s="1"/>
  <c r="BA113" i="8"/>
  <c r="AC119" i="8"/>
  <c r="AD119" i="8" s="1"/>
  <c r="AD121" i="8" s="1"/>
  <c r="AD125" i="8" s="1"/>
  <c r="AO127" i="8"/>
  <c r="AO129" i="8" s="1"/>
  <c r="AO131" i="8" s="1"/>
  <c r="CK141" i="8"/>
  <c r="AO147" i="8"/>
  <c r="BY157" i="8"/>
  <c r="CK163" i="8"/>
  <c r="CL163" i="8" s="1"/>
  <c r="CL165" i="8" s="1"/>
  <c r="CL166" i="8" s="1"/>
  <c r="E171" i="8"/>
  <c r="F171" i="8" s="1"/>
  <c r="F173" i="8" s="1"/>
  <c r="DI107" i="8"/>
  <c r="DI119" i="8"/>
  <c r="DJ119" i="8" s="1"/>
  <c r="DJ121" i="8" s="1"/>
  <c r="DJ125" i="8" s="1"/>
  <c r="DI127" i="8"/>
  <c r="DJ127" i="8" s="1"/>
  <c r="DK127" i="8" s="1"/>
  <c r="DI147" i="8"/>
  <c r="DI163" i="8"/>
  <c r="DI113" i="8"/>
  <c r="DI141" i="8"/>
  <c r="DI153" i="8"/>
  <c r="DJ153" i="8" s="1"/>
  <c r="DK153" i="8" s="1"/>
  <c r="DL153" i="8" s="1"/>
  <c r="DI157" i="8"/>
  <c r="DI171" i="8"/>
  <c r="DJ171" i="8" s="1"/>
  <c r="DJ173" i="8" s="1"/>
  <c r="DJ174" i="8" s="1"/>
  <c r="CW113" i="8"/>
  <c r="CW127" i="8"/>
  <c r="CW107" i="8"/>
  <c r="CW119" i="8"/>
  <c r="CX119" i="8" s="1"/>
  <c r="CW157" i="8"/>
  <c r="CW163" i="8"/>
  <c r="CX163" i="8" s="1"/>
  <c r="CY163" i="8" s="1"/>
  <c r="CY165" i="8" s="1"/>
  <c r="CY166" i="8" s="1"/>
  <c r="CW167" i="8"/>
  <c r="CW169" i="8" s="1"/>
  <c r="CW141" i="8"/>
  <c r="CW147" i="8"/>
  <c r="CK127" i="8"/>
  <c r="CL127" i="8" s="1"/>
  <c r="CM127" i="8" s="1"/>
  <c r="CK147" i="8"/>
  <c r="CK113" i="8"/>
  <c r="CK107" i="8"/>
  <c r="CK153" i="8"/>
  <c r="CL153" i="8" s="1"/>
  <c r="CM153" i="8" s="1"/>
  <c r="CK157" i="8"/>
  <c r="BY153" i="8"/>
  <c r="BZ153" i="8" s="1"/>
  <c r="BY127" i="8"/>
  <c r="BY129" i="8" s="1"/>
  <c r="BY131" i="8" s="1"/>
  <c r="BY147" i="8"/>
  <c r="BY107" i="8"/>
  <c r="BY113" i="8"/>
  <c r="BY141" i="8"/>
  <c r="BY163" i="8"/>
  <c r="BZ163" i="8" s="1"/>
  <c r="CA163" i="8" s="1"/>
  <c r="CB163" i="8" s="1"/>
  <c r="CB165" i="8" s="1"/>
  <c r="BY171" i="8"/>
  <c r="BZ171" i="8" s="1"/>
  <c r="BM119" i="8"/>
  <c r="BN119" i="8" s="1"/>
  <c r="BN121" i="8" s="1"/>
  <c r="BN125" i="8" s="1"/>
  <c r="BM107" i="8"/>
  <c r="BM153" i="8"/>
  <c r="BN153" i="8" s="1"/>
  <c r="BO153" i="8" s="1"/>
  <c r="BO155" i="8" s="1"/>
  <c r="BO156" i="8" s="1"/>
  <c r="BM171" i="8"/>
  <c r="BN171" i="8" s="1"/>
  <c r="BN173" i="8" s="1"/>
  <c r="BN174" i="8" s="1"/>
  <c r="BN101" i="8"/>
  <c r="BO101" i="8" s="1"/>
  <c r="BM113" i="8"/>
  <c r="BM141" i="8"/>
  <c r="BM157" i="8"/>
  <c r="BM105" i="8"/>
  <c r="BM106" i="8" s="1"/>
  <c r="BM127" i="8"/>
  <c r="BN127" i="8" s="1"/>
  <c r="BO127" i="8" s="1"/>
  <c r="BM163" i="8"/>
  <c r="BN163" i="8" s="1"/>
  <c r="BO163" i="8" s="1"/>
  <c r="BP163" i="8" s="1"/>
  <c r="BA119" i="8"/>
  <c r="BB119" i="8" s="1"/>
  <c r="BA141" i="8"/>
  <c r="BA153" i="8"/>
  <c r="BB153" i="8" s="1"/>
  <c r="BA163" i="8"/>
  <c r="BB163" i="8" s="1"/>
  <c r="BC163" i="8" s="1"/>
  <c r="BC165" i="8" s="1"/>
  <c r="BC166" i="8" s="1"/>
  <c r="BA171" i="8"/>
  <c r="BB171" i="8" s="1"/>
  <c r="BA107" i="8"/>
  <c r="AO119" i="8"/>
  <c r="AO107" i="8"/>
  <c r="AO105" i="8"/>
  <c r="AO106" i="8" s="1"/>
  <c r="AO141" i="8"/>
  <c r="AO157" i="8"/>
  <c r="AO167" i="8"/>
  <c r="AO169" i="8" s="1"/>
  <c r="AO170" i="8" s="1"/>
  <c r="AO113" i="8"/>
  <c r="AO153" i="8"/>
  <c r="AP153" i="8" s="1"/>
  <c r="AP155" i="8" s="1"/>
  <c r="AO163" i="8"/>
  <c r="AP163" i="8" s="1"/>
  <c r="AQ163" i="8" s="1"/>
  <c r="AR163" i="8" s="1"/>
  <c r="AR165" i="8" s="1"/>
  <c r="AR166" i="8" s="1"/>
  <c r="AO171" i="8"/>
  <c r="AO173" i="8" s="1"/>
  <c r="AO174" i="8" s="1"/>
  <c r="AC113" i="8"/>
  <c r="AC157" i="8"/>
  <c r="AC160" i="8" s="1"/>
  <c r="AC163" i="8"/>
  <c r="AD163" i="8" s="1"/>
  <c r="AE163" i="8" s="1"/>
  <c r="AF163" i="8" s="1"/>
  <c r="AC107" i="8"/>
  <c r="AC127" i="8"/>
  <c r="AC129" i="8" s="1"/>
  <c r="AC131" i="8" s="1"/>
  <c r="AC153" i="8"/>
  <c r="AD153" i="8" s="1"/>
  <c r="AC171" i="8"/>
  <c r="Q171" i="8"/>
  <c r="Q105" i="8"/>
  <c r="Q141" i="8"/>
  <c r="Q163" i="8"/>
  <c r="R163" i="8" s="1"/>
  <c r="S163" i="8" s="1"/>
  <c r="S165" i="8" s="1"/>
  <c r="S166" i="8" s="1"/>
  <c r="Q153" i="8"/>
  <c r="R153" i="8" s="1"/>
  <c r="S153" i="8" s="1"/>
  <c r="T153" i="8" s="1"/>
  <c r="Q106" i="8"/>
  <c r="Q107" i="8"/>
  <c r="Q119" i="8"/>
  <c r="R119" i="8" s="1"/>
  <c r="S119" i="8" s="1"/>
  <c r="Q127" i="8"/>
  <c r="R127" i="8" s="1"/>
  <c r="Q157" i="8"/>
  <c r="E167" i="8"/>
  <c r="E169" i="8" s="1"/>
  <c r="E101" i="8"/>
  <c r="F101" i="8" s="1"/>
  <c r="G101" i="8" s="1"/>
  <c r="DI167" i="8"/>
  <c r="DI169" i="8" s="1"/>
  <c r="DI170" i="8" s="1"/>
  <c r="CK167" i="8"/>
  <c r="CL167" i="8" s="1"/>
  <c r="BY167" i="8"/>
  <c r="BZ167" i="8" s="1"/>
  <c r="BZ169" i="8" s="1"/>
  <c r="BZ170" i="8" s="1"/>
  <c r="BA167" i="8"/>
  <c r="AQ101" i="8"/>
  <c r="AP105" i="8"/>
  <c r="AP106" i="8" s="1"/>
  <c r="CM101" i="8"/>
  <c r="CL105" i="8"/>
  <c r="CL106" i="8" s="1"/>
  <c r="DK101" i="8"/>
  <c r="DJ105" i="8"/>
  <c r="DJ106" i="8" s="1"/>
  <c r="AD101" i="8"/>
  <c r="E111" i="8"/>
  <c r="E112" i="8" s="1"/>
  <c r="CY101" i="8"/>
  <c r="CX105" i="8"/>
  <c r="CX106" i="8" s="1"/>
  <c r="AC105" i="8"/>
  <c r="AC106" i="8" s="1"/>
  <c r="BA105" i="8"/>
  <c r="BA106" i="8" s="1"/>
  <c r="BY105" i="8"/>
  <c r="BY106" i="8" s="1"/>
  <c r="CW105" i="8"/>
  <c r="S101" i="8"/>
  <c r="R105" i="8"/>
  <c r="R106" i="8" s="1"/>
  <c r="CK105" i="8"/>
  <c r="CK106" i="8" s="1"/>
  <c r="DI105" i="8"/>
  <c r="BZ101" i="8"/>
  <c r="G107" i="8"/>
  <c r="F111" i="8"/>
  <c r="F112" i="8" s="1"/>
  <c r="BC101" i="8"/>
  <c r="BB105" i="8"/>
  <c r="BB106" i="8" s="1"/>
  <c r="BA117" i="8"/>
  <c r="R167" i="8"/>
  <c r="DI106" i="8" l="1"/>
  <c r="CW106" i="8"/>
  <c r="E173" i="8"/>
  <c r="E174" i="8" s="1"/>
  <c r="BM151" i="8"/>
  <c r="BM152" i="8" s="1"/>
  <c r="BN147" i="8"/>
  <c r="BO147" i="8" s="1"/>
  <c r="AP157" i="8"/>
  <c r="AQ157" i="8" s="1"/>
  <c r="AR157" i="8" s="1"/>
  <c r="AS157" i="8" s="1"/>
  <c r="AO160" i="8"/>
  <c r="BN113" i="8"/>
  <c r="BN117" i="8" s="1"/>
  <c r="BN118" i="8" s="1"/>
  <c r="BM116" i="8"/>
  <c r="BM111" i="8"/>
  <c r="BM110" i="8"/>
  <c r="BY145" i="8"/>
  <c r="BY146" i="8" s="1"/>
  <c r="BY144" i="8"/>
  <c r="CK111" i="8"/>
  <c r="CK110" i="8"/>
  <c r="CW151" i="8"/>
  <c r="CW150" i="8"/>
  <c r="CW161" i="8"/>
  <c r="CW160" i="8"/>
  <c r="CX113" i="8"/>
  <c r="CY113" i="8" s="1"/>
  <c r="CZ113" i="8" s="1"/>
  <c r="CW116" i="8"/>
  <c r="DJ141" i="8"/>
  <c r="DK141" i="8" s="1"/>
  <c r="DL141" i="8" s="1"/>
  <c r="DI144" i="8"/>
  <c r="AC145" i="8"/>
  <c r="AC144" i="8"/>
  <c r="Q151" i="8"/>
  <c r="Q150" i="8"/>
  <c r="R107" i="8"/>
  <c r="S107" i="8" s="1"/>
  <c r="T107" i="8" s="1"/>
  <c r="Q110" i="8"/>
  <c r="R141" i="8"/>
  <c r="S141" i="8" s="1"/>
  <c r="T141" i="8" s="1"/>
  <c r="Q144" i="8"/>
  <c r="AP141" i="8"/>
  <c r="AQ141" i="8" s="1"/>
  <c r="AR141" i="8" s="1"/>
  <c r="AO144" i="8"/>
  <c r="BB107" i="8"/>
  <c r="BC107" i="8" s="1"/>
  <c r="BD107" i="8" s="1"/>
  <c r="BA110" i="8"/>
  <c r="BB141" i="8"/>
  <c r="BB145" i="8" s="1"/>
  <c r="BB146" i="8" s="1"/>
  <c r="BA144" i="8"/>
  <c r="BZ113" i="8"/>
  <c r="CA113" i="8" s="1"/>
  <c r="CA117" i="8" s="1"/>
  <c r="CA118" i="8" s="1"/>
  <c r="BY116" i="8"/>
  <c r="CL113" i="8"/>
  <c r="CM113" i="8" s="1"/>
  <c r="CM117" i="8" s="1"/>
  <c r="CM118" i="8" s="1"/>
  <c r="CK116" i="8"/>
  <c r="CX141" i="8"/>
  <c r="CY141" i="8" s="1"/>
  <c r="CZ141" i="8" s="1"/>
  <c r="CW144" i="8"/>
  <c r="DJ113" i="8"/>
  <c r="DK113" i="8" s="1"/>
  <c r="DK117" i="8" s="1"/>
  <c r="DK118" i="8" s="1"/>
  <c r="DI116" i="8"/>
  <c r="BZ157" i="8"/>
  <c r="BZ161" i="8" s="1"/>
  <c r="BZ162" i="8" s="1"/>
  <c r="BY160" i="8"/>
  <c r="BB157" i="8"/>
  <c r="BC157" i="8" s="1"/>
  <c r="BC161" i="8" s="1"/>
  <c r="BC162" i="8" s="1"/>
  <c r="BA160" i="8"/>
  <c r="R157" i="8"/>
  <c r="S157" i="8" s="1"/>
  <c r="S161" i="8" s="1"/>
  <c r="S162" i="8" s="1"/>
  <c r="Q160" i="8"/>
  <c r="AD113" i="8"/>
  <c r="AE113" i="8" s="1"/>
  <c r="AF113" i="8" s="1"/>
  <c r="AC116" i="8"/>
  <c r="AP113" i="8"/>
  <c r="AQ113" i="8" s="1"/>
  <c r="AQ117" i="8" s="1"/>
  <c r="AQ118" i="8" s="1"/>
  <c r="AO116" i="8"/>
  <c r="BN157" i="8"/>
  <c r="BO157" i="8" s="1"/>
  <c r="BP157" i="8" s="1"/>
  <c r="BQ157" i="8" s="1"/>
  <c r="BM160" i="8"/>
  <c r="BY111" i="8"/>
  <c r="BY110" i="8"/>
  <c r="CL157" i="8"/>
  <c r="CL161" i="8" s="1"/>
  <c r="CK160" i="8"/>
  <c r="CL147" i="8"/>
  <c r="CM147" i="8" s="1"/>
  <c r="CK150" i="8"/>
  <c r="CW110" i="8"/>
  <c r="CW111" i="8"/>
  <c r="DJ157" i="8"/>
  <c r="DJ161" i="8" s="1"/>
  <c r="DI160" i="8"/>
  <c r="DI111" i="8"/>
  <c r="DI110" i="8"/>
  <c r="AO151" i="8"/>
  <c r="AO150" i="8"/>
  <c r="BB113" i="8"/>
  <c r="BC113" i="8" s="1"/>
  <c r="BD113" i="8" s="1"/>
  <c r="BD117" i="8" s="1"/>
  <c r="BD118" i="8" s="1"/>
  <c r="BA116" i="8"/>
  <c r="BA118" i="8" s="1"/>
  <c r="R113" i="8"/>
  <c r="R117" i="8" s="1"/>
  <c r="R118" i="8" s="1"/>
  <c r="Q116" i="8"/>
  <c r="BB147" i="8"/>
  <c r="BC147" i="8" s="1"/>
  <c r="BA150" i="8"/>
  <c r="AD107" i="8"/>
  <c r="AE107" i="8" s="1"/>
  <c r="AF107" i="8" s="1"/>
  <c r="AC110" i="8"/>
  <c r="AP107" i="8"/>
  <c r="AQ107" i="8" s="1"/>
  <c r="AR107" i="8" s="1"/>
  <c r="AO110" i="8"/>
  <c r="BN141" i="8"/>
  <c r="BO141" i="8" s="1"/>
  <c r="BP141" i="8" s="1"/>
  <c r="BM144" i="8"/>
  <c r="BZ147" i="8"/>
  <c r="CA147" i="8" s="1"/>
  <c r="BY150" i="8"/>
  <c r="DI151" i="8"/>
  <c r="DI150" i="8"/>
  <c r="CL141" i="8"/>
  <c r="CM141" i="8" s="1"/>
  <c r="CN141" i="8" s="1"/>
  <c r="CK144" i="8"/>
  <c r="AD147" i="8"/>
  <c r="AD151" i="8" s="1"/>
  <c r="AD152" i="8" s="1"/>
  <c r="AC150" i="8"/>
  <c r="AC152" i="8" s="1"/>
  <c r="F119" i="8"/>
  <c r="G119" i="8" s="1"/>
  <c r="H119" i="8" s="1"/>
  <c r="H121" i="8" s="1"/>
  <c r="E121" i="8"/>
  <c r="E125" i="8" s="1"/>
  <c r="CY155" i="8"/>
  <c r="CY156" i="8" s="1"/>
  <c r="F147" i="8"/>
  <c r="BA151" i="8"/>
  <c r="CZ163" i="8"/>
  <c r="DA163" i="8" s="1"/>
  <c r="CK173" i="8"/>
  <c r="CK174" i="8" s="1"/>
  <c r="CL155" i="8"/>
  <c r="CL156" i="8" s="1"/>
  <c r="F165" i="8"/>
  <c r="F166" i="8" s="1"/>
  <c r="CL107" i="8"/>
  <c r="CM107" i="8" s="1"/>
  <c r="BZ127" i="8"/>
  <c r="CA127" i="8" s="1"/>
  <c r="BY121" i="8"/>
  <c r="BY125" i="8" s="1"/>
  <c r="CX147" i="8"/>
  <c r="CX151" i="8" s="1"/>
  <c r="CX152" i="8" s="1"/>
  <c r="Q165" i="8"/>
  <c r="Q166" i="8" s="1"/>
  <c r="AS163" i="8"/>
  <c r="AT163" i="8" s="1"/>
  <c r="DI145" i="8"/>
  <c r="F105" i="8"/>
  <c r="F106" i="8" s="1"/>
  <c r="DI129" i="8"/>
  <c r="DI131" i="8" s="1"/>
  <c r="BN105" i="8"/>
  <c r="BN106" i="8" s="1"/>
  <c r="CW145" i="8"/>
  <c r="CW146" i="8" s="1"/>
  <c r="BM169" i="8"/>
  <c r="BM170" i="8" s="1"/>
  <c r="BM161" i="8"/>
  <c r="AP127" i="8"/>
  <c r="AQ127" i="8" s="1"/>
  <c r="AE167" i="8"/>
  <c r="AF167" i="8" s="1"/>
  <c r="DI173" i="8"/>
  <c r="DI174" i="8" s="1"/>
  <c r="AC169" i="8"/>
  <c r="AC170" i="8" s="1"/>
  <c r="AD127" i="8"/>
  <c r="AE127" i="8" s="1"/>
  <c r="DK119" i="8"/>
  <c r="DL119" i="8" s="1"/>
  <c r="DK171" i="8"/>
  <c r="DL171" i="8" s="1"/>
  <c r="BY155" i="8"/>
  <c r="BY156" i="8" s="1"/>
  <c r="BO119" i="8"/>
  <c r="BO121" i="8" s="1"/>
  <c r="BY173" i="8"/>
  <c r="BY174" i="8" s="1"/>
  <c r="AC117" i="8"/>
  <c r="AD141" i="8"/>
  <c r="AD145" i="8" s="1"/>
  <c r="AD146" i="8" s="1"/>
  <c r="BZ126" i="8"/>
  <c r="CM163" i="8"/>
  <c r="CM165" i="8" s="1"/>
  <c r="CM166" i="8" s="1"/>
  <c r="CA167" i="8"/>
  <c r="CA169" i="8" s="1"/>
  <c r="CA170" i="8" s="1"/>
  <c r="DI117" i="8"/>
  <c r="Q161" i="8"/>
  <c r="Q162" i="8" s="1"/>
  <c r="R147" i="8"/>
  <c r="R151" i="8" s="1"/>
  <c r="R152" i="8" s="1"/>
  <c r="DI121" i="8"/>
  <c r="DI125" i="8" s="1"/>
  <c r="CK165" i="8"/>
  <c r="CK166" i="8" s="1"/>
  <c r="DI161" i="8"/>
  <c r="DI162" i="8" s="1"/>
  <c r="E151" i="8"/>
  <c r="E152" i="8" s="1"/>
  <c r="AQ153" i="8"/>
  <c r="AR153" i="8" s="1"/>
  <c r="BM121" i="8"/>
  <c r="BM125" i="8" s="1"/>
  <c r="AP171" i="8"/>
  <c r="AP173" i="8" s="1"/>
  <c r="AP174" i="8" s="1"/>
  <c r="DJ167" i="8"/>
  <c r="DK167" i="8" s="1"/>
  <c r="F157" i="8"/>
  <c r="F161" i="8" s="1"/>
  <c r="BP153" i="8"/>
  <c r="BP155" i="8" s="1"/>
  <c r="BP156" i="8" s="1"/>
  <c r="BN107" i="8"/>
  <c r="BO107" i="8" s="1"/>
  <c r="CL129" i="8"/>
  <c r="CL131" i="8" s="1"/>
  <c r="DJ107" i="8"/>
  <c r="DK107" i="8" s="1"/>
  <c r="AP167" i="8"/>
  <c r="AP169" i="8" s="1"/>
  <c r="AP170" i="8" s="1"/>
  <c r="BA161" i="8"/>
  <c r="DK155" i="8"/>
  <c r="DK156" i="8" s="1"/>
  <c r="AP147" i="8"/>
  <c r="AP151" i="8" s="1"/>
  <c r="AP152" i="8" s="1"/>
  <c r="BZ141" i="8"/>
  <c r="CA141" i="8" s="1"/>
  <c r="CK129" i="8"/>
  <c r="CK131" i="8" s="1"/>
  <c r="AO161" i="8"/>
  <c r="H163" i="8"/>
  <c r="I163" i="8" s="1"/>
  <c r="BY117" i="8"/>
  <c r="Q117" i="8"/>
  <c r="CA119" i="8"/>
  <c r="CB119" i="8" s="1"/>
  <c r="CB121" i="8" s="1"/>
  <c r="G118" i="8"/>
  <c r="H113" i="8"/>
  <c r="F167" i="8"/>
  <c r="G167" i="8" s="1"/>
  <c r="BB165" i="8"/>
  <c r="BB166" i="8" s="1"/>
  <c r="BA165" i="8"/>
  <c r="BA166" i="8" s="1"/>
  <c r="AQ165" i="8"/>
  <c r="AQ166" i="8" s="1"/>
  <c r="BY161" i="8"/>
  <c r="DI155" i="8"/>
  <c r="DI156" i="8" s="1"/>
  <c r="CA165" i="8"/>
  <c r="CA166" i="8" s="1"/>
  <c r="BD163" i="8"/>
  <c r="BD165" i="8" s="1"/>
  <c r="BD166" i="8" s="1"/>
  <c r="BN129" i="8"/>
  <c r="BN131" i="8" s="1"/>
  <c r="AC121" i="8"/>
  <c r="AC125" i="8" s="1"/>
  <c r="E105" i="8"/>
  <c r="E106" i="8" s="1"/>
  <c r="CX107" i="8"/>
  <c r="CX111" i="8" s="1"/>
  <c r="CX112" i="8" s="1"/>
  <c r="BA129" i="8"/>
  <c r="BA131" i="8" s="1"/>
  <c r="AD126" i="8"/>
  <c r="CX167" i="8"/>
  <c r="BN165" i="8"/>
  <c r="BN166" i="8" s="1"/>
  <c r="BY165" i="8"/>
  <c r="BY166" i="8" s="1"/>
  <c r="E165" i="8"/>
  <c r="E166" i="8" s="1"/>
  <c r="CB166" i="8"/>
  <c r="CK161" i="8"/>
  <c r="BM155" i="8"/>
  <c r="BM156" i="8" s="1"/>
  <c r="BO165" i="8"/>
  <c r="BO166" i="8" s="1"/>
  <c r="BY151" i="8"/>
  <c r="BY169" i="8"/>
  <c r="BY170" i="8" s="1"/>
  <c r="CX165" i="8"/>
  <c r="CX166" i="8" s="1"/>
  <c r="AP165" i="8"/>
  <c r="AP166" i="8" s="1"/>
  <c r="CW165" i="8"/>
  <c r="CW166" i="8" s="1"/>
  <c r="AO165" i="8"/>
  <c r="AO166" i="8" s="1"/>
  <c r="CK155" i="8"/>
  <c r="CK156" i="8" s="1"/>
  <c r="CK151" i="8"/>
  <c r="G141" i="8"/>
  <c r="H141" i="8" s="1"/>
  <c r="E117" i="8"/>
  <c r="E118" i="8" s="1"/>
  <c r="F117" i="8"/>
  <c r="F118" i="8" s="1"/>
  <c r="Q111" i="8"/>
  <c r="BM129" i="8"/>
  <c r="BM131" i="8" s="1"/>
  <c r="AE119" i="8"/>
  <c r="E170" i="8"/>
  <c r="E162" i="8"/>
  <c r="E155" i="8"/>
  <c r="E156" i="8" s="1"/>
  <c r="E145" i="8"/>
  <c r="E146" i="8" s="1"/>
  <c r="Q155" i="8"/>
  <c r="Q156" i="8" s="1"/>
  <c r="R155" i="8"/>
  <c r="R156" i="8" s="1"/>
  <c r="CK145" i="8"/>
  <c r="AC111" i="8"/>
  <c r="CL126" i="8"/>
  <c r="CX157" i="8"/>
  <c r="CY157" i="8" s="1"/>
  <c r="CW173" i="8"/>
  <c r="CW174" i="8" s="1"/>
  <c r="G171" i="8"/>
  <c r="G173" i="8" s="1"/>
  <c r="G174" i="8" s="1"/>
  <c r="BO171" i="8"/>
  <c r="BP171" i="8" s="1"/>
  <c r="CX155" i="8"/>
  <c r="CX156" i="8" s="1"/>
  <c r="S155" i="8"/>
  <c r="S156" i="8" s="1"/>
  <c r="CW117" i="8"/>
  <c r="BZ107" i="8"/>
  <c r="CA107" i="8" s="1"/>
  <c r="DJ129" i="8"/>
  <c r="DJ131" i="8" s="1"/>
  <c r="BM173" i="8"/>
  <c r="BM174" i="8" s="1"/>
  <c r="BA173" i="8"/>
  <c r="BA174" i="8" s="1"/>
  <c r="CW155" i="8"/>
  <c r="CW156" i="8" s="1"/>
  <c r="F174" i="8"/>
  <c r="BA121" i="8"/>
  <c r="BA125" i="8" s="1"/>
  <c r="CM119" i="8"/>
  <c r="CN119" i="8" s="1"/>
  <c r="CK121" i="8"/>
  <c r="CK125" i="8" s="1"/>
  <c r="G153" i="8"/>
  <c r="F155" i="8"/>
  <c r="F156" i="8" s="1"/>
  <c r="AC132" i="8"/>
  <c r="DJ126" i="8"/>
  <c r="BN126" i="8"/>
  <c r="DJ147" i="8"/>
  <c r="DK147" i="8" s="1"/>
  <c r="DJ155" i="8"/>
  <c r="DJ156" i="8" s="1"/>
  <c r="DI165" i="8"/>
  <c r="DI166" i="8" s="1"/>
  <c r="DJ163" i="8"/>
  <c r="CX121" i="8"/>
  <c r="CY119" i="8"/>
  <c r="CW121" i="8"/>
  <c r="CW125" i="8" s="1"/>
  <c r="CW129" i="8"/>
  <c r="CX127" i="8"/>
  <c r="CW170" i="8"/>
  <c r="CK117" i="8"/>
  <c r="CK169" i="8"/>
  <c r="CK170" i="8" s="1"/>
  <c r="CA153" i="8"/>
  <c r="BZ155" i="8"/>
  <c r="BZ156" i="8" s="1"/>
  <c r="BZ165" i="8"/>
  <c r="BZ166" i="8" s="1"/>
  <c r="CC163" i="8"/>
  <c r="CC165" i="8" s="1"/>
  <c r="BM117" i="8"/>
  <c r="BM165" i="8"/>
  <c r="BM166" i="8" s="1"/>
  <c r="BM145" i="8"/>
  <c r="BM146" i="8" s="1"/>
  <c r="BN155" i="8"/>
  <c r="BN156" i="8" s="1"/>
  <c r="BC153" i="8"/>
  <c r="BB155" i="8"/>
  <c r="BB156" i="8" s="1"/>
  <c r="BA111" i="8"/>
  <c r="BA155" i="8"/>
  <c r="BA156" i="8" s="1"/>
  <c r="BA145" i="8"/>
  <c r="BB121" i="8"/>
  <c r="BC119" i="8"/>
  <c r="AO145" i="8"/>
  <c r="AP156" i="8"/>
  <c r="AO155" i="8"/>
  <c r="AO156" i="8" s="1"/>
  <c r="AO117" i="8"/>
  <c r="AO118" i="8" s="1"/>
  <c r="AO111" i="8"/>
  <c r="AP119" i="8"/>
  <c r="AO121" i="8"/>
  <c r="AG163" i="8"/>
  <c r="AF165" i="8"/>
  <c r="AF166" i="8" s="1"/>
  <c r="AD165" i="8"/>
  <c r="AD166" i="8" s="1"/>
  <c r="AD157" i="8"/>
  <c r="AC161" i="8"/>
  <c r="AC162" i="8" s="1"/>
  <c r="AE165" i="8"/>
  <c r="AE166" i="8" s="1"/>
  <c r="AC173" i="8"/>
  <c r="AC174" i="8" s="1"/>
  <c r="AD171" i="8"/>
  <c r="AE153" i="8"/>
  <c r="AD155" i="8"/>
  <c r="AD156" i="8" s="1"/>
  <c r="AC165" i="8"/>
  <c r="AC166" i="8" s="1"/>
  <c r="AC155" i="8"/>
  <c r="AC156" i="8" s="1"/>
  <c r="R165" i="8"/>
  <c r="R166" i="8" s="1"/>
  <c r="T163" i="8"/>
  <c r="U163" i="8" s="1"/>
  <c r="Q145" i="8"/>
  <c r="Q173" i="8"/>
  <c r="Q174" i="8" s="1"/>
  <c r="R171" i="8"/>
  <c r="BA169" i="8"/>
  <c r="BA170" i="8" s="1"/>
  <c r="BB167" i="8"/>
  <c r="BY132" i="8"/>
  <c r="AO132" i="8"/>
  <c r="U153" i="8"/>
  <c r="T155" i="8"/>
  <c r="T156" i="8" s="1"/>
  <c r="CM155" i="8"/>
  <c r="CM156" i="8" s="1"/>
  <c r="CN153" i="8"/>
  <c r="S127" i="8"/>
  <c r="S105" i="8"/>
  <c r="S106" i="8" s="1"/>
  <c r="T101" i="8"/>
  <c r="BB173" i="8"/>
  <c r="BB174" i="8" s="1"/>
  <c r="BC171" i="8"/>
  <c r="G127" i="8"/>
  <c r="BO105" i="8"/>
  <c r="BO106" i="8" s="1"/>
  <c r="BP101" i="8"/>
  <c r="CY105" i="8"/>
  <c r="CY106" i="8" s="1"/>
  <c r="CZ101" i="8"/>
  <c r="CM105" i="8"/>
  <c r="CM106" i="8" s="1"/>
  <c r="CN101" i="8"/>
  <c r="DA153" i="8"/>
  <c r="CZ155" i="8"/>
  <c r="CZ156" i="8" s="1"/>
  <c r="T119" i="8"/>
  <c r="G105" i="8"/>
  <c r="G106" i="8" s="1"/>
  <c r="H101" i="8"/>
  <c r="CA101" i="8"/>
  <c r="BZ105" i="8"/>
  <c r="BZ106" i="8" s="1"/>
  <c r="DL127" i="8"/>
  <c r="DK129" i="8"/>
  <c r="DK105" i="8"/>
  <c r="DK106" i="8" s="1"/>
  <c r="DL101" i="8"/>
  <c r="AQ105" i="8"/>
  <c r="AQ106" i="8" s="1"/>
  <c r="AR101" i="8"/>
  <c r="BQ163" i="8"/>
  <c r="BP165" i="8"/>
  <c r="BP166" i="8" s="1"/>
  <c r="CN127" i="8"/>
  <c r="CM129" i="8"/>
  <c r="G147" i="8"/>
  <c r="F151" i="8"/>
  <c r="F152" i="8" s="1"/>
  <c r="BC127" i="8"/>
  <c r="BB129" i="8"/>
  <c r="H107" i="8"/>
  <c r="G111" i="8"/>
  <c r="G112" i="8" s="1"/>
  <c r="BZ173" i="8"/>
  <c r="BZ174" i="8" s="1"/>
  <c r="CA171" i="8"/>
  <c r="CM167" i="8"/>
  <c r="CL169" i="8"/>
  <c r="CL170" i="8" s="1"/>
  <c r="CX173" i="8"/>
  <c r="CX174" i="8" s="1"/>
  <c r="CY171" i="8"/>
  <c r="CL173" i="8"/>
  <c r="CL174" i="8" s="1"/>
  <c r="CM171" i="8"/>
  <c r="S167" i="8"/>
  <c r="R169" i="8"/>
  <c r="R170" i="8" s="1"/>
  <c r="BO167" i="8"/>
  <c r="BN169" i="8"/>
  <c r="BN170" i="8" s="1"/>
  <c r="DM153" i="8"/>
  <c r="DL155" i="8"/>
  <c r="DL156" i="8" s="1"/>
  <c r="BP127" i="8"/>
  <c r="BO129" i="8"/>
  <c r="BC105" i="8"/>
  <c r="BC106" i="8" s="1"/>
  <c r="BD101" i="8"/>
  <c r="AE101" i="8"/>
  <c r="AD105" i="8"/>
  <c r="AD106" i="8" s="1"/>
  <c r="BP161" i="8" l="1"/>
  <c r="BP162" i="8" s="1"/>
  <c r="BE113" i="8"/>
  <c r="BF113" i="8" s="1"/>
  <c r="AF117" i="8"/>
  <c r="AF118" i="8" s="1"/>
  <c r="CY117" i="8"/>
  <c r="CY118" i="8" s="1"/>
  <c r="CK152" i="8"/>
  <c r="DI152" i="8"/>
  <c r="BY112" i="8"/>
  <c r="Q152" i="8"/>
  <c r="BZ151" i="8"/>
  <c r="BZ152" i="8" s="1"/>
  <c r="CM145" i="8"/>
  <c r="CM146" i="8" s="1"/>
  <c r="BO161" i="8"/>
  <c r="BO162" i="8" s="1"/>
  <c r="AG113" i="8"/>
  <c r="AH113" i="8" s="1"/>
  <c r="AI114" i="8" s="1"/>
  <c r="AG115" i="8" s="1"/>
  <c r="DL113" i="8"/>
  <c r="DL117" i="8" s="1"/>
  <c r="DL118" i="8" s="1"/>
  <c r="Q146" i="8"/>
  <c r="AC112" i="8"/>
  <c r="Q118" i="8"/>
  <c r="AQ145" i="8"/>
  <c r="AQ146" i="8" s="1"/>
  <c r="BD157" i="8"/>
  <c r="AQ111" i="8"/>
  <c r="AQ112" i="8" s="1"/>
  <c r="S111" i="8"/>
  <c r="S112" i="8" s="1"/>
  <c r="AP145" i="8"/>
  <c r="AP146" i="8" s="1"/>
  <c r="BO113" i="8"/>
  <c r="BP113" i="8" s="1"/>
  <c r="AP111" i="8"/>
  <c r="AP112" i="8" s="1"/>
  <c r="R111" i="8"/>
  <c r="R112" i="8" s="1"/>
  <c r="AE117" i="8"/>
  <c r="AE118" i="8" s="1"/>
  <c r="BE117" i="8"/>
  <c r="BB151" i="8"/>
  <c r="BB152" i="8" s="1"/>
  <c r="CN113" i="8"/>
  <c r="CN117" i="8" s="1"/>
  <c r="CN118" i="8" s="1"/>
  <c r="CX117" i="8"/>
  <c r="CX118" i="8" s="1"/>
  <c r="BC117" i="8"/>
  <c r="BC118" i="8" s="1"/>
  <c r="BB117" i="8"/>
  <c r="BB118" i="8" s="1"/>
  <c r="CM157" i="8"/>
  <c r="CN157" i="8" s="1"/>
  <c r="CO157" i="8" s="1"/>
  <c r="DJ117" i="8"/>
  <c r="DJ118" i="8" s="1"/>
  <c r="AC146" i="8"/>
  <c r="AR161" i="8"/>
  <c r="AR162" i="8" s="1"/>
  <c r="BB111" i="8"/>
  <c r="BB112" i="8" s="1"/>
  <c r="DI118" i="8"/>
  <c r="CW118" i="8"/>
  <c r="Q112" i="8"/>
  <c r="BY152" i="8"/>
  <c r="CL117" i="8"/>
  <c r="CL118" i="8" s="1"/>
  <c r="BN161" i="8"/>
  <c r="BN162" i="8" s="1"/>
  <c r="CL145" i="8"/>
  <c r="CL146" i="8" s="1"/>
  <c r="CL162" i="8"/>
  <c r="BB161" i="8"/>
  <c r="BB162" i="8" s="1"/>
  <c r="BC141" i="8"/>
  <c r="BD141" i="8" s="1"/>
  <c r="BD145" i="8" s="1"/>
  <c r="BD146" i="8" s="1"/>
  <c r="AD117" i="8"/>
  <c r="AD118" i="8" s="1"/>
  <c r="CY145" i="8"/>
  <c r="CY146" i="8" s="1"/>
  <c r="S145" i="8"/>
  <c r="S146" i="8" s="1"/>
  <c r="CK162" i="8"/>
  <c r="BA162" i="8"/>
  <c r="BA152" i="8"/>
  <c r="DI112" i="8"/>
  <c r="CB113" i="8"/>
  <c r="BN151" i="8"/>
  <c r="BN152" i="8" s="1"/>
  <c r="AR113" i="8"/>
  <c r="AR117" i="8" s="1"/>
  <c r="AR118" i="8" s="1"/>
  <c r="BC111" i="8"/>
  <c r="BC112" i="8" s="1"/>
  <c r="AO112" i="8"/>
  <c r="AO146" i="8"/>
  <c r="BA146" i="8"/>
  <c r="BM118" i="8"/>
  <c r="CK118" i="8"/>
  <c r="CK146" i="8"/>
  <c r="AC118" i="8"/>
  <c r="BM162" i="8"/>
  <c r="I119" i="8"/>
  <c r="I121" i="8" s="1"/>
  <c r="CX145" i="8"/>
  <c r="CX146" i="8" s="1"/>
  <c r="BN145" i="8"/>
  <c r="BN146" i="8" s="1"/>
  <c r="R161" i="8"/>
  <c r="R162" i="8" s="1"/>
  <c r="CA157" i="8"/>
  <c r="CB157" i="8" s="1"/>
  <c r="CB161" i="8" s="1"/>
  <c r="CB162" i="8" s="1"/>
  <c r="BZ117" i="8"/>
  <c r="BZ118" i="8" s="1"/>
  <c r="R145" i="8"/>
  <c r="R146" i="8" s="1"/>
  <c r="DK145" i="8"/>
  <c r="DK146" i="8" s="1"/>
  <c r="DJ145" i="8"/>
  <c r="DJ146" i="8" s="1"/>
  <c r="AP161" i="8"/>
  <c r="AP162" i="8" s="1"/>
  <c r="AQ161" i="8"/>
  <c r="AQ162" i="8" s="1"/>
  <c r="BM112" i="8"/>
  <c r="CL151" i="8"/>
  <c r="CL152" i="8" s="1"/>
  <c r="AE147" i="8"/>
  <c r="AF147" i="8" s="1"/>
  <c r="S113" i="8"/>
  <c r="T113" i="8" s="1"/>
  <c r="AO162" i="8"/>
  <c r="CW162" i="8"/>
  <c r="CK112" i="8"/>
  <c r="BY118" i="8"/>
  <c r="AD111" i="8"/>
  <c r="AD112" i="8" s="1"/>
  <c r="DI146" i="8"/>
  <c r="CW112" i="8"/>
  <c r="AE111" i="8"/>
  <c r="AE112" i="8" s="1"/>
  <c r="BO145" i="8"/>
  <c r="BO146" i="8" s="1"/>
  <c r="BA112" i="8"/>
  <c r="DJ162" i="8"/>
  <c r="BY162" i="8"/>
  <c r="DK157" i="8"/>
  <c r="DK161" i="8" s="1"/>
  <c r="DK162" i="8" s="1"/>
  <c r="AP117" i="8"/>
  <c r="AP118" i="8" s="1"/>
  <c r="T157" i="8"/>
  <c r="U157" i="8" s="1"/>
  <c r="U161" i="8" s="1"/>
  <c r="AO152" i="8"/>
  <c r="CW152" i="8"/>
  <c r="CZ165" i="8"/>
  <c r="CZ166" i="8" s="1"/>
  <c r="CK126" i="8"/>
  <c r="CL111" i="8"/>
  <c r="CL112" i="8" s="1"/>
  <c r="CN163" i="8"/>
  <c r="CN165" i="8" s="1"/>
  <c r="CN166" i="8" s="1"/>
  <c r="BZ129" i="8"/>
  <c r="BZ131" i="8" s="1"/>
  <c r="BZ132" i="8" s="1"/>
  <c r="BY126" i="8"/>
  <c r="DI132" i="8"/>
  <c r="AS165" i="8"/>
  <c r="AS166" i="8" s="1"/>
  <c r="BN111" i="8"/>
  <c r="BN112" i="8" s="1"/>
  <c r="CY147" i="8"/>
  <c r="CY151" i="8" s="1"/>
  <c r="CY152" i="8" s="1"/>
  <c r="CK132" i="8"/>
  <c r="CL132" i="8"/>
  <c r="AE141" i="8"/>
  <c r="AE145" i="8" s="1"/>
  <c r="AE146" i="8" s="1"/>
  <c r="AE169" i="8"/>
  <c r="AE170" i="8" s="1"/>
  <c r="AQ155" i="8"/>
  <c r="AQ156" i="8" s="1"/>
  <c r="AQ171" i="8"/>
  <c r="AR171" i="8" s="1"/>
  <c r="BA132" i="8"/>
  <c r="BM132" i="8"/>
  <c r="BO117" i="8"/>
  <c r="BO118" i="8" s="1"/>
  <c r="BE163" i="8"/>
  <c r="BF163" i="8" s="1"/>
  <c r="CA121" i="8"/>
  <c r="CA125" i="8" s="1"/>
  <c r="AD129" i="8"/>
  <c r="AD131" i="8" s="1"/>
  <c r="AD132" i="8" s="1"/>
  <c r="CC119" i="8"/>
  <c r="CC121" i="8" s="1"/>
  <c r="DK173" i="8"/>
  <c r="DK174" i="8" s="1"/>
  <c r="DJ169" i="8"/>
  <c r="DJ170" i="8" s="1"/>
  <c r="G145" i="8"/>
  <c r="G146" i="8" s="1"/>
  <c r="AP129" i="8"/>
  <c r="AP131" i="8" s="1"/>
  <c r="AP132" i="8" s="1"/>
  <c r="DJ111" i="8"/>
  <c r="DJ112" i="8" s="1"/>
  <c r="G157" i="8"/>
  <c r="G161" i="8" s="1"/>
  <c r="G162" i="8" s="1"/>
  <c r="AQ147" i="8"/>
  <c r="AR147" i="8" s="1"/>
  <c r="CY107" i="8"/>
  <c r="CY111" i="8" s="1"/>
  <c r="CY112" i="8" s="1"/>
  <c r="DK121" i="8"/>
  <c r="DK125" i="8" s="1"/>
  <c r="DK126" i="8" s="1"/>
  <c r="AQ167" i="8"/>
  <c r="AR167" i="8" s="1"/>
  <c r="CX161" i="8"/>
  <c r="CX162" i="8" s="1"/>
  <c r="BQ153" i="8"/>
  <c r="BR153" i="8" s="1"/>
  <c r="S147" i="8"/>
  <c r="S151" i="8" s="1"/>
  <c r="S152" i="8" s="1"/>
  <c r="BN132" i="8"/>
  <c r="BP119" i="8"/>
  <c r="BP121" i="8" s="1"/>
  <c r="CM121" i="8"/>
  <c r="CM125" i="8" s="1"/>
  <c r="CM126" i="8" s="1"/>
  <c r="DI126" i="8"/>
  <c r="H165" i="8"/>
  <c r="H166" i="8" s="1"/>
  <c r="BO173" i="8"/>
  <c r="BO174" i="8" s="1"/>
  <c r="BZ145" i="8"/>
  <c r="BZ146" i="8" s="1"/>
  <c r="CB167" i="8"/>
  <c r="CC167" i="8" s="1"/>
  <c r="BZ111" i="8"/>
  <c r="BZ112" i="8" s="1"/>
  <c r="BM126" i="8"/>
  <c r="F162" i="8"/>
  <c r="F169" i="8"/>
  <c r="F170" i="8" s="1"/>
  <c r="AC126" i="8"/>
  <c r="CX169" i="8"/>
  <c r="CX170" i="8" s="1"/>
  <c r="T165" i="8"/>
  <c r="T166" i="8" s="1"/>
  <c r="BA126" i="8"/>
  <c r="DJ132" i="8"/>
  <c r="CY167" i="8"/>
  <c r="AF119" i="8"/>
  <c r="AE121" i="8"/>
  <c r="H117" i="8"/>
  <c r="H118" i="8" s="1"/>
  <c r="I113" i="8"/>
  <c r="DJ151" i="8"/>
  <c r="DJ152" i="8" s="1"/>
  <c r="H171" i="8"/>
  <c r="H173" i="8" s="1"/>
  <c r="H174" i="8" s="1"/>
  <c r="H153" i="8"/>
  <c r="G155" i="8"/>
  <c r="G156" i="8" s="1"/>
  <c r="CC166" i="8"/>
  <c r="CW126" i="8"/>
  <c r="DK163" i="8"/>
  <c r="DJ165" i="8"/>
  <c r="DJ166" i="8" s="1"/>
  <c r="CY127" i="8"/>
  <c r="CX129" i="8"/>
  <c r="CY121" i="8"/>
  <c r="CZ119" i="8"/>
  <c r="DA113" i="8"/>
  <c r="CZ117" i="8"/>
  <c r="CZ118" i="8" s="1"/>
  <c r="CW131" i="8"/>
  <c r="CW132" i="8" s="1"/>
  <c r="CX125" i="8"/>
  <c r="CX126" i="8" s="1"/>
  <c r="CD163" i="8"/>
  <c r="CE163" i="8" s="1"/>
  <c r="CB153" i="8"/>
  <c r="CA155" i="8"/>
  <c r="CA156" i="8" s="1"/>
  <c r="CB117" i="8"/>
  <c r="CB118" i="8" s="1"/>
  <c r="BB125" i="8"/>
  <c r="BB126" i="8" s="1"/>
  <c r="BD119" i="8"/>
  <c r="BC121" i="8"/>
  <c r="BD153" i="8"/>
  <c r="BC155" i="8"/>
  <c r="BC156" i="8" s="1"/>
  <c r="AP121" i="8"/>
  <c r="AQ119" i="8"/>
  <c r="AO125" i="8"/>
  <c r="AO126" i="8" s="1"/>
  <c r="AE171" i="8"/>
  <c r="AD173" i="8"/>
  <c r="AD174" i="8" s="1"/>
  <c r="AE157" i="8"/>
  <c r="AD161" i="8"/>
  <c r="AD162" i="8" s="1"/>
  <c r="AH163" i="8"/>
  <c r="AG165" i="8"/>
  <c r="AG166" i="8" s="1"/>
  <c r="AF153" i="8"/>
  <c r="AE155" i="8"/>
  <c r="AE156" i="8" s="1"/>
  <c r="R173" i="8"/>
  <c r="R174" i="8" s="1"/>
  <c r="S171" i="8"/>
  <c r="BC167" i="8"/>
  <c r="BB169" i="8"/>
  <c r="BB170" i="8" s="1"/>
  <c r="BD105" i="8"/>
  <c r="BD106" i="8" s="1"/>
  <c r="BE101" i="8"/>
  <c r="S169" i="8"/>
  <c r="S170" i="8" s="1"/>
  <c r="T167" i="8"/>
  <c r="CZ171" i="8"/>
  <c r="CY173" i="8"/>
  <c r="CY174" i="8" s="1"/>
  <c r="BF117" i="8"/>
  <c r="BF118" i="8" s="1"/>
  <c r="BG114" i="8"/>
  <c r="BE115" i="8" s="1"/>
  <c r="BG113" i="8"/>
  <c r="DM127" i="8"/>
  <c r="DL129" i="8"/>
  <c r="V163" i="8"/>
  <c r="U165" i="8"/>
  <c r="U166" i="8" s="1"/>
  <c r="AF111" i="8"/>
  <c r="AF112" i="8" s="1"/>
  <c r="AG107" i="8"/>
  <c r="CA151" i="8"/>
  <c r="CA152" i="8" s="1"/>
  <c r="CB147" i="8"/>
  <c r="DK169" i="8"/>
  <c r="DK170" i="8" s="1"/>
  <c r="DL167" i="8"/>
  <c r="H111" i="8"/>
  <c r="H112" i="8" s="1"/>
  <c r="I107" i="8"/>
  <c r="BB131" i="8"/>
  <c r="BB132" i="8" s="1"/>
  <c r="DB163" i="8"/>
  <c r="DA165" i="8"/>
  <c r="DA166" i="8" s="1"/>
  <c r="CB127" i="8"/>
  <c r="CA129" i="8"/>
  <c r="BD111" i="8"/>
  <c r="BD112" i="8" s="1"/>
  <c r="BE107" i="8"/>
  <c r="DK151" i="8"/>
  <c r="DK152" i="8" s="1"/>
  <c r="DL147" i="8"/>
  <c r="CN107" i="8"/>
  <c r="CM111" i="8"/>
  <c r="CM112" i="8" s="1"/>
  <c r="CO153" i="8"/>
  <c r="CN155" i="8"/>
  <c r="CN156" i="8" s="1"/>
  <c r="G169" i="8"/>
  <c r="G170" i="8" s="1"/>
  <c r="H167" i="8"/>
  <c r="CN121" i="8"/>
  <c r="CO119" i="8"/>
  <c r="DL145" i="8"/>
  <c r="DL146" i="8" s="1"/>
  <c r="DM141" i="8"/>
  <c r="H145" i="8"/>
  <c r="H146" i="8" s="1"/>
  <c r="I141" i="8"/>
  <c r="J163" i="8"/>
  <c r="I165" i="8"/>
  <c r="I166" i="8" s="1"/>
  <c r="CB171" i="8"/>
  <c r="CA173" i="8"/>
  <c r="CA174" i="8" s="1"/>
  <c r="BD127" i="8"/>
  <c r="BC129" i="8"/>
  <c r="AU164" i="8"/>
  <c r="AU163" i="8"/>
  <c r="AT165" i="8"/>
  <c r="AT166" i="8" s="1"/>
  <c r="AF169" i="8"/>
  <c r="AF170" i="8" s="1"/>
  <c r="AG167" i="8"/>
  <c r="CM131" i="8"/>
  <c r="CM132" i="8" s="1"/>
  <c r="AS161" i="8"/>
  <c r="AT157" i="8"/>
  <c r="BR163" i="8"/>
  <c r="BQ165" i="8"/>
  <c r="BQ166" i="8" s="1"/>
  <c r="DL105" i="8"/>
  <c r="DL106" i="8" s="1"/>
  <c r="DM101" i="8"/>
  <c r="CB125" i="8"/>
  <c r="CB126" i="8" s="1"/>
  <c r="CB141" i="8"/>
  <c r="CA145" i="8"/>
  <c r="CA146" i="8" s="1"/>
  <c r="BC151" i="8"/>
  <c r="BC152" i="8" s="1"/>
  <c r="BD147" i="8"/>
  <c r="CN145" i="8"/>
  <c r="CN146" i="8" s="1"/>
  <c r="CO141" i="8"/>
  <c r="H127" i="8"/>
  <c r="U155" i="8"/>
  <c r="U156" i="8" s="1"/>
  <c r="V153" i="8"/>
  <c r="BP129" i="8"/>
  <c r="BQ127" i="8"/>
  <c r="T145" i="8"/>
  <c r="T146" i="8" s="1"/>
  <c r="U141" i="8"/>
  <c r="BO151" i="8"/>
  <c r="BO152" i="8" s="1"/>
  <c r="BP147" i="8"/>
  <c r="CM151" i="8"/>
  <c r="CM152" i="8" s="1"/>
  <c r="CN147" i="8"/>
  <c r="H105" i="8"/>
  <c r="H106" i="8" s="1"/>
  <c r="I101" i="8"/>
  <c r="AQ129" i="8"/>
  <c r="AR127" i="8"/>
  <c r="BQ161" i="8"/>
  <c r="BR157" i="8"/>
  <c r="DL173" i="8"/>
  <c r="DL174" i="8" s="1"/>
  <c r="DM171" i="8"/>
  <c r="BQ101" i="8"/>
  <c r="BP105" i="8"/>
  <c r="BP106" i="8" s="1"/>
  <c r="T111" i="8"/>
  <c r="T112" i="8" s="1"/>
  <c r="U107" i="8"/>
  <c r="AE105" i="8"/>
  <c r="AE106" i="8" s="1"/>
  <c r="AF101" i="8"/>
  <c r="DM155" i="8"/>
  <c r="DM156" i="8" s="1"/>
  <c r="DN153" i="8"/>
  <c r="BO169" i="8"/>
  <c r="BO170" i="8" s="1"/>
  <c r="BP167" i="8"/>
  <c r="CN171" i="8"/>
  <c r="CM173" i="8"/>
  <c r="CM174" i="8" s="1"/>
  <c r="CM169" i="8"/>
  <c r="CM170" i="8" s="1"/>
  <c r="CN167" i="8"/>
  <c r="CZ145" i="8"/>
  <c r="CZ146" i="8" s="1"/>
  <c r="DA141" i="8"/>
  <c r="BP173" i="8"/>
  <c r="BP174" i="8" s="1"/>
  <c r="BQ171" i="8"/>
  <c r="DL121" i="8"/>
  <c r="DM119" i="8"/>
  <c r="DA155" i="8"/>
  <c r="DA156" i="8" s="1"/>
  <c r="DB153" i="8"/>
  <c r="CZ105" i="8"/>
  <c r="CZ106" i="8" s="1"/>
  <c r="DA101" i="8"/>
  <c r="BP117" i="8"/>
  <c r="BP118" i="8" s="1"/>
  <c r="BQ113" i="8"/>
  <c r="BD171" i="8"/>
  <c r="BC173" i="8"/>
  <c r="BC174" i="8" s="1"/>
  <c r="AE151" i="8"/>
  <c r="AE152" i="8" s="1"/>
  <c r="T127" i="8"/>
  <c r="AI113" i="8"/>
  <c r="CB107" i="8"/>
  <c r="CA111" i="8"/>
  <c r="CA112" i="8" s="1"/>
  <c r="BO131" i="8"/>
  <c r="BO132" i="8" s="1"/>
  <c r="AS153" i="8"/>
  <c r="AR155" i="8"/>
  <c r="AR156" i="8" s="1"/>
  <c r="AE129" i="8"/>
  <c r="AF127" i="8"/>
  <c r="CY161" i="8"/>
  <c r="CY162" i="8" s="1"/>
  <c r="CZ157" i="8"/>
  <c r="G151" i="8"/>
  <c r="G152" i="8" s="1"/>
  <c r="H147" i="8"/>
  <c r="AR145" i="8"/>
  <c r="AR146" i="8" s="1"/>
  <c r="AS141" i="8"/>
  <c r="CO127" i="8"/>
  <c r="CN129" i="8"/>
  <c r="BO125" i="8"/>
  <c r="BO126" i="8" s="1"/>
  <c r="AR105" i="8"/>
  <c r="AR106" i="8" s="1"/>
  <c r="AS101" i="8"/>
  <c r="DK131" i="8"/>
  <c r="DK132" i="8" s="1"/>
  <c r="CA105" i="8"/>
  <c r="CA106" i="8" s="1"/>
  <c r="CB101" i="8"/>
  <c r="T121" i="8"/>
  <c r="U119" i="8"/>
  <c r="BP145" i="8"/>
  <c r="BP146" i="8" s="1"/>
  <c r="BQ141" i="8"/>
  <c r="CN105" i="8"/>
  <c r="CN106" i="8" s="1"/>
  <c r="CO101" i="8"/>
  <c r="DL107" i="8"/>
  <c r="DK111" i="8"/>
  <c r="DK112" i="8" s="1"/>
  <c r="BD161" i="8"/>
  <c r="BD162" i="8" s="1"/>
  <c r="BE157" i="8"/>
  <c r="AR111" i="8"/>
  <c r="AR112" i="8" s="1"/>
  <c r="AS107" i="8"/>
  <c r="U101" i="8"/>
  <c r="T105" i="8"/>
  <c r="T106" i="8" s="1"/>
  <c r="BP107" i="8"/>
  <c r="BO111" i="8"/>
  <c r="BO112" i="8" s="1"/>
  <c r="AH117" i="8" l="1"/>
  <c r="AH118" i="8" s="1"/>
  <c r="AG117" i="8"/>
  <c r="DM113" i="8"/>
  <c r="T117" i="8"/>
  <c r="T118" i="8" s="1"/>
  <c r="AS113" i="8"/>
  <c r="AS117" i="8" s="1"/>
  <c r="CO113" i="8"/>
  <c r="CP113" i="8" s="1"/>
  <c r="BE118" i="8"/>
  <c r="CC113" i="8"/>
  <c r="CD113" i="8" s="1"/>
  <c r="AD175" i="8"/>
  <c r="BZ175" i="8"/>
  <c r="CW175" i="8"/>
  <c r="CK175" i="8"/>
  <c r="AC175" i="8"/>
  <c r="DJ175" i="8"/>
  <c r="BN175" i="8"/>
  <c r="BA175" i="8"/>
  <c r="AO175" i="8"/>
  <c r="BM175" i="8"/>
  <c r="DI175" i="8"/>
  <c r="BO175" i="8"/>
  <c r="CL175" i="8"/>
  <c r="BB175" i="8"/>
  <c r="BY175" i="8"/>
  <c r="CN161" i="8"/>
  <c r="CN162" i="8" s="1"/>
  <c r="CM161" i="8"/>
  <c r="CM162" i="8" s="1"/>
  <c r="CM175" i="8" s="1"/>
  <c r="BE141" i="8"/>
  <c r="BC145" i="8"/>
  <c r="BC146" i="8" s="1"/>
  <c r="J119" i="8"/>
  <c r="K122" i="8" s="1"/>
  <c r="I123" i="8" s="1"/>
  <c r="CC157" i="8"/>
  <c r="CD157" i="8" s="1"/>
  <c r="U113" i="8"/>
  <c r="V113" i="8" s="1"/>
  <c r="S117" i="8"/>
  <c r="S118" i="8" s="1"/>
  <c r="CZ147" i="8"/>
  <c r="DA147" i="8" s="1"/>
  <c r="V157" i="8"/>
  <c r="W158" i="8" s="1"/>
  <c r="U159" i="8" s="1"/>
  <c r="U162" i="8" s="1"/>
  <c r="T161" i="8"/>
  <c r="T162" i="8" s="1"/>
  <c r="CA126" i="8"/>
  <c r="CA161" i="8"/>
  <c r="CA162" i="8" s="1"/>
  <c r="DL157" i="8"/>
  <c r="DM157" i="8" s="1"/>
  <c r="DM161" i="8" s="1"/>
  <c r="CO163" i="8"/>
  <c r="CO165" i="8" s="1"/>
  <c r="CO166" i="8" s="1"/>
  <c r="AQ173" i="8"/>
  <c r="AQ174" i="8" s="1"/>
  <c r="AF141" i="8"/>
  <c r="AF145" i="8" s="1"/>
  <c r="AF146" i="8" s="1"/>
  <c r="CE164" i="8"/>
  <c r="BE165" i="8"/>
  <c r="BE166" i="8" s="1"/>
  <c r="T147" i="8"/>
  <c r="T151" i="8" s="1"/>
  <c r="T152" i="8" s="1"/>
  <c r="AQ169" i="8"/>
  <c r="AQ170" i="8" s="1"/>
  <c r="CD119" i="8"/>
  <c r="CE119" i="8" s="1"/>
  <c r="CF124" i="8" s="1"/>
  <c r="AG118" i="8"/>
  <c r="AQ151" i="8"/>
  <c r="AQ152" i="8" s="1"/>
  <c r="CB169" i="8"/>
  <c r="CB170" i="8" s="1"/>
  <c r="CD165" i="8"/>
  <c r="CD166" i="8" s="1"/>
  <c r="CZ107" i="8"/>
  <c r="CZ111" i="8" s="1"/>
  <c r="CZ112" i="8" s="1"/>
  <c r="BQ119" i="8"/>
  <c r="BR119" i="8" s="1"/>
  <c r="BQ155" i="8"/>
  <c r="BQ156" i="8" s="1"/>
  <c r="I171" i="8"/>
  <c r="J171" i="8" s="1"/>
  <c r="H157" i="8"/>
  <c r="AE125" i="8"/>
  <c r="AE126" i="8" s="1"/>
  <c r="AF121" i="8"/>
  <c r="AF125" i="8" s="1"/>
  <c r="AF126" i="8" s="1"/>
  <c r="AG119" i="8"/>
  <c r="J113" i="8"/>
  <c r="I117" i="8"/>
  <c r="CZ167" i="8"/>
  <c r="CY169" i="8"/>
  <c r="CY170" i="8" s="1"/>
  <c r="H155" i="8"/>
  <c r="H156" i="8" s="1"/>
  <c r="I153" i="8"/>
  <c r="DK165" i="8"/>
  <c r="DK166" i="8" s="1"/>
  <c r="DK175" i="8" s="1"/>
  <c r="DL163" i="8"/>
  <c r="CZ121" i="8"/>
  <c r="CZ125" i="8" s="1"/>
  <c r="CZ126" i="8" s="1"/>
  <c r="DA119" i="8"/>
  <c r="CY125" i="8"/>
  <c r="CY126" i="8" s="1"/>
  <c r="DB113" i="8"/>
  <c r="DA117" i="8"/>
  <c r="CX131" i="8"/>
  <c r="CX132" i="8" s="1"/>
  <c r="CX175" i="8" s="1"/>
  <c r="CZ127" i="8"/>
  <c r="CY129" i="8"/>
  <c r="CY131" i="8" s="1"/>
  <c r="CY132" i="8" s="1"/>
  <c r="CB155" i="8"/>
  <c r="CB156" i="8" s="1"/>
  <c r="CC153" i="8"/>
  <c r="CC117" i="8"/>
  <c r="BC125" i="8"/>
  <c r="BC126" i="8" s="1"/>
  <c r="BD121" i="8"/>
  <c r="BD125" i="8" s="1"/>
  <c r="BD126" i="8" s="1"/>
  <c r="BE119" i="8"/>
  <c r="BD155" i="8"/>
  <c r="BD156" i="8" s="1"/>
  <c r="BE153" i="8"/>
  <c r="AQ121" i="8"/>
  <c r="AQ125" i="8" s="1"/>
  <c r="AQ126" i="8" s="1"/>
  <c r="AR119" i="8"/>
  <c r="AP125" i="8"/>
  <c r="AP126" i="8" s="1"/>
  <c r="AP175" i="8" s="1"/>
  <c r="AE161" i="8"/>
  <c r="AE162" i="8" s="1"/>
  <c r="AF157" i="8"/>
  <c r="AG153" i="8"/>
  <c r="AF155" i="8"/>
  <c r="AF156" i="8" s="1"/>
  <c r="AI164" i="8"/>
  <c r="AI163" i="8"/>
  <c r="AH165" i="8"/>
  <c r="AH166" i="8" s="1"/>
  <c r="AE173" i="8"/>
  <c r="AE174" i="8" s="1"/>
  <c r="AF171" i="8"/>
  <c r="S173" i="8"/>
  <c r="S174" i="8" s="1"/>
  <c r="T171" i="8"/>
  <c r="BD167" i="8"/>
  <c r="BC169" i="8"/>
  <c r="BC170" i="8" s="1"/>
  <c r="AS167" i="8"/>
  <c r="AR169" i="8"/>
  <c r="AR170" i="8" s="1"/>
  <c r="CD121" i="8"/>
  <c r="BR101" i="8"/>
  <c r="BQ105" i="8"/>
  <c r="DN101" i="8"/>
  <c r="DM105" i="8"/>
  <c r="DN141" i="8"/>
  <c r="DM145" i="8"/>
  <c r="CP119" i="8"/>
  <c r="CO121" i="8"/>
  <c r="CO155" i="8"/>
  <c r="CO156" i="8" s="1"/>
  <c r="CP153" i="8"/>
  <c r="DL151" i="8"/>
  <c r="DL152" i="8" s="1"/>
  <c r="DM147" i="8"/>
  <c r="AT113" i="8"/>
  <c r="CB129" i="8"/>
  <c r="CC127" i="8"/>
  <c r="CB151" i="8"/>
  <c r="CB152" i="8" s="1"/>
  <c r="CC147" i="8"/>
  <c r="DM129" i="8"/>
  <c r="DN127" i="8"/>
  <c r="CP163" i="8"/>
  <c r="BE105" i="8"/>
  <c r="BF101" i="8"/>
  <c r="BS154" i="8"/>
  <c r="BS153" i="8"/>
  <c r="BR155" i="8"/>
  <c r="BR156" i="8" s="1"/>
  <c r="AF129" i="8"/>
  <c r="AG127" i="8"/>
  <c r="AS155" i="8"/>
  <c r="AS156" i="8" s="1"/>
  <c r="AT153" i="8"/>
  <c r="DB101" i="8"/>
  <c r="DA105" i="8"/>
  <c r="AF105" i="8"/>
  <c r="AF106" i="8" s="1"/>
  <c r="AG101" i="8"/>
  <c r="I127" i="8"/>
  <c r="BD129" i="8"/>
  <c r="BE127" i="8"/>
  <c r="K163" i="8"/>
  <c r="J165" i="8"/>
  <c r="J166" i="8" s="1"/>
  <c r="K164" i="8"/>
  <c r="CN125" i="8"/>
  <c r="CN126" i="8" s="1"/>
  <c r="DL169" i="8"/>
  <c r="DL170" i="8" s="1"/>
  <c r="DM167" i="8"/>
  <c r="AH107" i="8"/>
  <c r="AG111" i="8"/>
  <c r="CC169" i="8"/>
  <c r="CC170" i="8" s="1"/>
  <c r="CD167" i="8"/>
  <c r="BP125" i="8"/>
  <c r="BP126" i="8" s="1"/>
  <c r="CZ173" i="8"/>
  <c r="CZ174" i="8" s="1"/>
  <c r="DA171" i="8"/>
  <c r="BP111" i="8"/>
  <c r="BP112" i="8" s="1"/>
  <c r="BQ107" i="8"/>
  <c r="CN131" i="8"/>
  <c r="CN132" i="8" s="1"/>
  <c r="AR173" i="8"/>
  <c r="AR174" i="8" s="1"/>
  <c r="AS171" i="8"/>
  <c r="CZ151" i="8"/>
  <c r="CZ152" i="8" s="1"/>
  <c r="AE131" i="8"/>
  <c r="AE132" i="8" s="1"/>
  <c r="AJ113" i="8"/>
  <c r="AI117" i="8"/>
  <c r="AI118" i="8" s="1"/>
  <c r="AF151" i="8"/>
  <c r="AF152" i="8" s="1"/>
  <c r="AG147" i="8"/>
  <c r="DC154" i="8"/>
  <c r="DC153" i="8"/>
  <c r="DB155" i="8"/>
  <c r="DB156" i="8" s="1"/>
  <c r="DL125" i="8"/>
  <c r="DL126" i="8" s="1"/>
  <c r="CN173" i="8"/>
  <c r="CN174" i="8" s="1"/>
  <c r="CO171" i="8"/>
  <c r="DO154" i="8"/>
  <c r="DO153" i="8"/>
  <c r="DN155" i="8"/>
  <c r="DN156" i="8" s="1"/>
  <c r="BS158" i="8"/>
  <c r="BQ159" i="8" s="1"/>
  <c r="BQ162" i="8" s="1"/>
  <c r="BR161" i="8"/>
  <c r="BR162" i="8" s="1"/>
  <c r="BS157" i="8"/>
  <c r="AQ131" i="8"/>
  <c r="AQ132" i="8" s="1"/>
  <c r="J101" i="8"/>
  <c r="K102" i="8" s="1"/>
  <c r="I105" i="8"/>
  <c r="BQ129" i="8"/>
  <c r="BR127" i="8"/>
  <c r="W154" i="8"/>
  <c r="W153" i="8"/>
  <c r="V155" i="8"/>
  <c r="V156" i="8" s="1"/>
  <c r="CO117" i="8"/>
  <c r="BS164" i="8"/>
  <c r="BS163" i="8"/>
  <c r="BR165" i="8"/>
  <c r="BR166" i="8" s="1"/>
  <c r="AU165" i="8"/>
  <c r="AU166" i="8" s="1"/>
  <c r="AV163" i="8"/>
  <c r="CC171" i="8"/>
  <c r="CB173" i="8"/>
  <c r="CB174" i="8" s="1"/>
  <c r="CE165" i="8"/>
  <c r="CF163" i="8"/>
  <c r="DC163" i="8"/>
  <c r="DB165" i="8"/>
  <c r="DB166" i="8" s="1"/>
  <c r="DC164" i="8"/>
  <c r="W164" i="8"/>
  <c r="W163" i="8"/>
  <c r="V165" i="8"/>
  <c r="V166" i="8" s="1"/>
  <c r="BH113" i="8"/>
  <c r="BG117" i="8"/>
  <c r="BG118" i="8" s="1"/>
  <c r="T169" i="8"/>
  <c r="T170" i="8" s="1"/>
  <c r="U167" i="8"/>
  <c r="DN113" i="8"/>
  <c r="DM117" i="8"/>
  <c r="V101" i="8"/>
  <c r="U105" i="8"/>
  <c r="BE161" i="8"/>
  <c r="BF157" i="8"/>
  <c r="CP101" i="8"/>
  <c r="CO105" i="8"/>
  <c r="T125" i="8"/>
  <c r="T126" i="8" s="1"/>
  <c r="CZ161" i="8"/>
  <c r="CZ162" i="8" s="1"/>
  <c r="DA157" i="8"/>
  <c r="CB111" i="8"/>
  <c r="CB112" i="8" s="1"/>
  <c r="CC107" i="8"/>
  <c r="T129" i="8"/>
  <c r="U127" i="8"/>
  <c r="BQ173" i="8"/>
  <c r="BQ174" i="8" s="1"/>
  <c r="BR171" i="8"/>
  <c r="DB141" i="8"/>
  <c r="DA145" i="8"/>
  <c r="BP151" i="8"/>
  <c r="BP152" i="8" s="1"/>
  <c r="BQ147" i="8"/>
  <c r="BC131" i="8"/>
  <c r="BC132" i="8" s="1"/>
  <c r="BR141" i="8"/>
  <c r="BQ145" i="8"/>
  <c r="CB105" i="8"/>
  <c r="CB106" i="8" s="1"/>
  <c r="CC101" i="8"/>
  <c r="AT101" i="8"/>
  <c r="AS105" i="8"/>
  <c r="BR113" i="8"/>
  <c r="BQ117" i="8"/>
  <c r="DN119" i="8"/>
  <c r="DM121" i="8"/>
  <c r="CN169" i="8"/>
  <c r="CN170" i="8" s="1"/>
  <c r="CO167" i="8"/>
  <c r="AR129" i="8"/>
  <c r="AS127" i="8"/>
  <c r="CN151" i="8"/>
  <c r="CN152" i="8" s="1"/>
  <c r="CO147" i="8"/>
  <c r="AG169" i="8"/>
  <c r="AG170" i="8" s="1"/>
  <c r="AH167" i="8"/>
  <c r="AT107" i="8"/>
  <c r="AS111" i="8"/>
  <c r="DL111" i="8"/>
  <c r="DL112" i="8" s="1"/>
  <c r="DM107" i="8"/>
  <c r="V119" i="8"/>
  <c r="W122" i="8" s="1"/>
  <c r="U121" i="8"/>
  <c r="CO129" i="8"/>
  <c r="CP127" i="8"/>
  <c r="AT141" i="8"/>
  <c r="AS145" i="8"/>
  <c r="H151" i="8"/>
  <c r="H152" i="8" s="1"/>
  <c r="I147" i="8"/>
  <c r="AR151" i="8"/>
  <c r="AR152" i="8" s="1"/>
  <c r="AS147" i="8"/>
  <c r="BG163" i="8"/>
  <c r="BF165" i="8"/>
  <c r="BF166" i="8" s="1"/>
  <c r="BG164" i="8"/>
  <c r="BE171" i="8"/>
  <c r="BD173" i="8"/>
  <c r="BD174" i="8" s="1"/>
  <c r="CC125" i="8"/>
  <c r="BP169" i="8"/>
  <c r="BP170" i="8" s="1"/>
  <c r="BQ167" i="8"/>
  <c r="V107" i="8"/>
  <c r="U111" i="8"/>
  <c r="DM173" i="8"/>
  <c r="DM174" i="8" s="1"/>
  <c r="DN171" i="8"/>
  <c r="V141" i="8"/>
  <c r="U145" i="8"/>
  <c r="BP131" i="8"/>
  <c r="BP132" i="8" s="1"/>
  <c r="CO161" i="8"/>
  <c r="CP157" i="8"/>
  <c r="CP141" i="8"/>
  <c r="CO145" i="8"/>
  <c r="BD151" i="8"/>
  <c r="BD152" i="8" s="1"/>
  <c r="BE147" i="8"/>
  <c r="CB145" i="8"/>
  <c r="CB146" i="8" s="1"/>
  <c r="CC141" i="8"/>
  <c r="AU158" i="8"/>
  <c r="AS159" i="8" s="1"/>
  <c r="AS162" i="8" s="1"/>
  <c r="AT161" i="8"/>
  <c r="AT162" i="8" s="1"/>
  <c r="AU157" i="8"/>
  <c r="J141" i="8"/>
  <c r="I145" i="8"/>
  <c r="H169" i="8"/>
  <c r="H170" i="8" s="1"/>
  <c r="I167" i="8"/>
  <c r="CN111" i="8"/>
  <c r="CN112" i="8" s="1"/>
  <c r="CO107" i="8"/>
  <c r="BF107" i="8"/>
  <c r="BE111" i="8"/>
  <c r="CA131" i="8"/>
  <c r="CA132" i="8" s="1"/>
  <c r="J107" i="8"/>
  <c r="I111" i="8"/>
  <c r="BF141" i="8"/>
  <c r="BE145" i="8"/>
  <c r="DL131" i="8"/>
  <c r="DL132" i="8" s="1"/>
  <c r="CC161" i="8" l="1"/>
  <c r="AQ175" i="8"/>
  <c r="CA175" i="8"/>
  <c r="AE175" i="8"/>
  <c r="BC175" i="8"/>
  <c r="CY175" i="8"/>
  <c r="BP175" i="8"/>
  <c r="AG141" i="8"/>
  <c r="AG145" i="8" s="1"/>
  <c r="CN175" i="8"/>
  <c r="U117" i="8"/>
  <c r="K119" i="8"/>
  <c r="L119" i="8" s="1"/>
  <c r="W157" i="8"/>
  <c r="W161" i="8" s="1"/>
  <c r="W162" i="8" s="1"/>
  <c r="BQ121" i="8"/>
  <c r="BQ125" i="8" s="1"/>
  <c r="V161" i="8"/>
  <c r="V162" i="8" s="1"/>
  <c r="DL161" i="8"/>
  <c r="DL162" i="8" s="1"/>
  <c r="DN157" i="8"/>
  <c r="DO158" i="8" s="1"/>
  <c r="DM159" i="8" s="1"/>
  <c r="DM162" i="8" s="1"/>
  <c r="CE166" i="8"/>
  <c r="U147" i="8"/>
  <c r="V147" i="8" s="1"/>
  <c r="CE122" i="8"/>
  <c r="CC123" i="8" s="1"/>
  <c r="CC126" i="8" s="1"/>
  <c r="I173" i="8"/>
  <c r="I174" i="8" s="1"/>
  <c r="DA107" i="8"/>
  <c r="DB107" i="8" s="1"/>
  <c r="I157" i="8"/>
  <c r="H161" i="8"/>
  <c r="H162" i="8" s="1"/>
  <c r="K113" i="8"/>
  <c r="K114" i="8"/>
  <c r="J117" i="8"/>
  <c r="J118" i="8" s="1"/>
  <c r="CZ169" i="8"/>
  <c r="CZ170" i="8" s="1"/>
  <c r="DA167" i="8"/>
  <c r="AH119" i="8"/>
  <c r="AG121" i="8"/>
  <c r="AG125" i="8" s="1"/>
  <c r="J153" i="8"/>
  <c r="I155" i="8"/>
  <c r="I156" i="8" s="1"/>
  <c r="DM163" i="8"/>
  <c r="DL165" i="8"/>
  <c r="DL166" i="8" s="1"/>
  <c r="DB119" i="8"/>
  <c r="DA121" i="8"/>
  <c r="DA125" i="8" s="1"/>
  <c r="CZ129" i="8"/>
  <c r="CZ131" i="8" s="1"/>
  <c r="CZ132" i="8" s="1"/>
  <c r="DA127" i="8"/>
  <c r="DC113" i="8"/>
  <c r="DB117" i="8"/>
  <c r="DB118" i="8" s="1"/>
  <c r="DC114" i="8"/>
  <c r="CC155" i="8"/>
  <c r="CC156" i="8" s="1"/>
  <c r="CD153" i="8"/>
  <c r="CE114" i="8"/>
  <c r="CD117" i="8"/>
  <c r="CD118" i="8" s="1"/>
  <c r="CE113" i="8"/>
  <c r="BF119" i="8"/>
  <c r="BE121" i="8"/>
  <c r="BE125" i="8" s="1"/>
  <c r="BF153" i="8"/>
  <c r="BE155" i="8"/>
  <c r="BE156" i="8" s="1"/>
  <c r="AS119" i="8"/>
  <c r="AR121" i="8"/>
  <c r="AR125" i="8" s="1"/>
  <c r="AR126" i="8" s="1"/>
  <c r="AI165" i="8"/>
  <c r="AI166" i="8" s="1"/>
  <c r="AJ163" i="8"/>
  <c r="AH153" i="8"/>
  <c r="AG155" i="8"/>
  <c r="AG156" i="8" s="1"/>
  <c r="AG157" i="8"/>
  <c r="AF161" i="8"/>
  <c r="AF162" i="8" s="1"/>
  <c r="AF173" i="8"/>
  <c r="AF174" i="8" s="1"/>
  <c r="AG171" i="8"/>
  <c r="T173" i="8"/>
  <c r="T174" i="8" s="1"/>
  <c r="U171" i="8"/>
  <c r="BD169" i="8"/>
  <c r="BD170" i="8" s="1"/>
  <c r="BE167" i="8"/>
  <c r="K107" i="8"/>
  <c r="J111" i="8"/>
  <c r="J112" i="8" s="1"/>
  <c r="K108" i="8"/>
  <c r="I109" i="8" s="1"/>
  <c r="I112" i="8" s="1"/>
  <c r="AS151" i="8"/>
  <c r="AT147" i="8"/>
  <c r="DN107" i="8"/>
  <c r="DM111" i="8"/>
  <c r="W102" i="8"/>
  <c r="U103" i="8" s="1"/>
  <c r="U106" i="8" s="1"/>
  <c r="W101" i="8"/>
  <c r="V105" i="8"/>
  <c r="V106" i="8" s="1"/>
  <c r="DC165" i="8"/>
  <c r="DC166" i="8" s="1"/>
  <c r="DD163" i="8"/>
  <c r="DP153" i="8"/>
  <c r="DO155" i="8"/>
  <c r="DO156" i="8" s="1"/>
  <c r="DA151" i="8"/>
  <c r="DB147" i="8"/>
  <c r="BS155" i="8"/>
  <c r="BS156" i="8" s="1"/>
  <c r="BT153" i="8"/>
  <c r="CC129" i="8"/>
  <c r="CD127" i="8"/>
  <c r="CO125" i="8"/>
  <c r="BG141" i="8"/>
  <c r="BF145" i="8"/>
  <c r="BF146" i="8" s="1"/>
  <c r="BG142" i="8"/>
  <c r="BE143" i="8" s="1"/>
  <c r="BE146" i="8" s="1"/>
  <c r="BG107" i="8"/>
  <c r="BF111" i="8"/>
  <c r="BF112" i="8" s="1"/>
  <c r="BG108" i="8"/>
  <c r="BE109" i="8" s="1"/>
  <c r="BE112" i="8" s="1"/>
  <c r="BQ169" i="8"/>
  <c r="BQ170" i="8" s="1"/>
  <c r="BR167" i="8"/>
  <c r="BR117" i="8"/>
  <c r="BR118" i="8" s="1"/>
  <c r="BS114" i="8"/>
  <c r="BS113" i="8"/>
  <c r="AU102" i="8"/>
  <c r="AS103" i="8" s="1"/>
  <c r="AS106" i="8" s="1"/>
  <c r="AU101" i="8"/>
  <c r="AT105" i="8"/>
  <c r="AT106" i="8" s="1"/>
  <c r="CG163" i="8"/>
  <c r="CF165" i="8"/>
  <c r="CF166" i="8" s="1"/>
  <c r="V117" i="8"/>
  <c r="V118" i="8" s="1"/>
  <c r="W114" i="8"/>
  <c r="W113" i="8"/>
  <c r="DD153" i="8"/>
  <c r="DC155" i="8"/>
  <c r="DC156" i="8" s="1"/>
  <c r="K165" i="8"/>
  <c r="K166" i="8" s="1"/>
  <c r="L163" i="8"/>
  <c r="AU154" i="8"/>
  <c r="AU153" i="8"/>
  <c r="AT155" i="8"/>
  <c r="AT156" i="8" s="1"/>
  <c r="CQ164" i="8"/>
  <c r="CQ163" i="8"/>
  <c r="CP165" i="8"/>
  <c r="CP166" i="8" s="1"/>
  <c r="CP107" i="8"/>
  <c r="CO111" i="8"/>
  <c r="I169" i="8"/>
  <c r="I170" i="8" s="1"/>
  <c r="J167" i="8"/>
  <c r="CD141" i="8"/>
  <c r="CC145" i="8"/>
  <c r="W142" i="8"/>
  <c r="U143" i="8" s="1"/>
  <c r="U146" i="8" s="1"/>
  <c r="W141" i="8"/>
  <c r="V145" i="8"/>
  <c r="V146" i="8" s="1"/>
  <c r="BE173" i="8"/>
  <c r="BE174" i="8" s="1"/>
  <c r="BF171" i="8"/>
  <c r="AU142" i="8"/>
  <c r="AS143" i="8" s="1"/>
  <c r="AS146" i="8" s="1"/>
  <c r="AU141" i="8"/>
  <c r="AT145" i="8"/>
  <c r="AT146" i="8" s="1"/>
  <c r="U125" i="8"/>
  <c r="AU108" i="8"/>
  <c r="AS109" i="8" s="1"/>
  <c r="AS112" i="8" s="1"/>
  <c r="AU107" i="8"/>
  <c r="AT111" i="8"/>
  <c r="AT112" i="8" s="1"/>
  <c r="CO151" i="8"/>
  <c r="CP147" i="8"/>
  <c r="AS129" i="8"/>
  <c r="AT127" i="8"/>
  <c r="DO122" i="8"/>
  <c r="DM123" i="8" s="1"/>
  <c r="DN121" i="8"/>
  <c r="DO119" i="8"/>
  <c r="DP124" i="8" s="1"/>
  <c r="BS122" i="8"/>
  <c r="BQ123" i="8" s="1"/>
  <c r="BR121" i="8"/>
  <c r="BS119" i="8"/>
  <c r="BT124" i="8" s="1"/>
  <c r="DC141" i="8"/>
  <c r="DB145" i="8"/>
  <c r="DB146" i="8" s="1"/>
  <c r="DC142" i="8"/>
  <c r="DA143" i="8" s="1"/>
  <c r="DA146" i="8" s="1"/>
  <c r="U129" i="8"/>
  <c r="V127" i="8"/>
  <c r="DA161" i="8"/>
  <c r="DB157" i="8"/>
  <c r="V167" i="8"/>
  <c r="U169" i="8"/>
  <c r="U170" i="8" s="1"/>
  <c r="BH117" i="8"/>
  <c r="BH118" i="8" s="1"/>
  <c r="BI113" i="8"/>
  <c r="W155" i="8"/>
  <c r="W156" i="8" s="1"/>
  <c r="X153" i="8"/>
  <c r="CO173" i="8"/>
  <c r="CO174" i="8" s="1"/>
  <c r="CP171" i="8"/>
  <c r="BR107" i="8"/>
  <c r="BQ111" i="8"/>
  <c r="AH141" i="8"/>
  <c r="DM169" i="8"/>
  <c r="DM170" i="8" s="1"/>
  <c r="DN167" i="8"/>
  <c r="BD131" i="8"/>
  <c r="BD132" i="8" s="1"/>
  <c r="BD175" i="8" s="1"/>
  <c r="AH101" i="8"/>
  <c r="AG105" i="8"/>
  <c r="DO130" i="8"/>
  <c r="DO127" i="8"/>
  <c r="DN129" i="8"/>
  <c r="CF119" i="8"/>
  <c r="CE121" i="8"/>
  <c r="AU161" i="8"/>
  <c r="AU162" i="8" s="1"/>
  <c r="AV157" i="8"/>
  <c r="CQ158" i="8"/>
  <c r="CO159" i="8" s="1"/>
  <c r="CO162" i="8" s="1"/>
  <c r="CP161" i="8"/>
  <c r="CP162" i="8" s="1"/>
  <c r="CQ157" i="8"/>
  <c r="W108" i="8"/>
  <c r="U109" i="8" s="1"/>
  <c r="U112" i="8" s="1"/>
  <c r="W107" i="8"/>
  <c r="V111" i="8"/>
  <c r="V112" i="8" s="1"/>
  <c r="CO131" i="8"/>
  <c r="CO132" i="8" s="1"/>
  <c r="BS142" i="8"/>
  <c r="BQ143" i="8" s="1"/>
  <c r="BQ146" i="8" s="1"/>
  <c r="BS141" i="8"/>
  <c r="BR145" i="8"/>
  <c r="BR146" i="8" s="1"/>
  <c r="CD107" i="8"/>
  <c r="CC111" i="8"/>
  <c r="BG158" i="8"/>
  <c r="BE159" i="8" s="1"/>
  <c r="BE162" i="8" s="1"/>
  <c r="BG157" i="8"/>
  <c r="BF161" i="8"/>
  <c r="BF162" i="8" s="1"/>
  <c r="DN117" i="8"/>
  <c r="DN118" i="8" s="1"/>
  <c r="DO113" i="8"/>
  <c r="DO114" i="8"/>
  <c r="BS130" i="8"/>
  <c r="BS127" i="8"/>
  <c r="BR129" i="8"/>
  <c r="K101" i="8"/>
  <c r="J105" i="8"/>
  <c r="J106" i="8" s="1"/>
  <c r="I103" i="8"/>
  <c r="I106" i="8" s="1"/>
  <c r="AI107" i="8"/>
  <c r="AH111" i="8"/>
  <c r="AH112" i="8" s="1"/>
  <c r="AI108" i="8"/>
  <c r="AG109" i="8" s="1"/>
  <c r="AG112" i="8" s="1"/>
  <c r="DC101" i="8"/>
  <c r="DB105" i="8"/>
  <c r="DB106" i="8" s="1"/>
  <c r="DC102" i="8"/>
  <c r="DA103" i="8" s="1"/>
  <c r="DA106" i="8" s="1"/>
  <c r="AG129" i="8"/>
  <c r="AH127" i="8"/>
  <c r="AT117" i="8"/>
  <c r="AT118" i="8" s="1"/>
  <c r="AU114" i="8"/>
  <c r="AU113" i="8"/>
  <c r="DO142" i="8"/>
  <c r="DM143" i="8" s="1"/>
  <c r="DM146" i="8" s="1"/>
  <c r="DO141" i="8"/>
  <c r="DN145" i="8"/>
  <c r="DN146" i="8" s="1"/>
  <c r="BE151" i="8"/>
  <c r="BF147" i="8"/>
  <c r="CE158" i="8"/>
  <c r="CC159" i="8" s="1"/>
  <c r="CC162" i="8" s="1"/>
  <c r="CE157" i="8"/>
  <c r="CD161" i="8"/>
  <c r="CD162" i="8" s="1"/>
  <c r="I151" i="8"/>
  <c r="J147" i="8"/>
  <c r="DM125" i="8"/>
  <c r="W165" i="8"/>
  <c r="W166" i="8" s="1"/>
  <c r="X163" i="8"/>
  <c r="CC173" i="8"/>
  <c r="CC174" i="8" s="1"/>
  <c r="CD171" i="8"/>
  <c r="AW163" i="8"/>
  <c r="AV165" i="8"/>
  <c r="AV166" i="8" s="1"/>
  <c r="BS165" i="8"/>
  <c r="BS166" i="8" s="1"/>
  <c r="BT163" i="8"/>
  <c r="BQ131" i="8"/>
  <c r="BQ132" i="8" s="1"/>
  <c r="AJ117" i="8"/>
  <c r="AJ118" i="8" s="1"/>
  <c r="AK113" i="8"/>
  <c r="BE129" i="8"/>
  <c r="BF127" i="8"/>
  <c r="AF131" i="8"/>
  <c r="AF132" i="8" s="1"/>
  <c r="BG101" i="8"/>
  <c r="BF105" i="8"/>
  <c r="BF106" i="8" s="1"/>
  <c r="BG102" i="8"/>
  <c r="BE103" i="8" s="1"/>
  <c r="BE106" i="8" s="1"/>
  <c r="CC151" i="8"/>
  <c r="CD147" i="8"/>
  <c r="CB131" i="8"/>
  <c r="CB132" i="8" s="1"/>
  <c r="CB175" i="8" s="1"/>
  <c r="DM151" i="8"/>
  <c r="DN147" i="8"/>
  <c r="CQ154" i="8"/>
  <c r="CQ153" i="8"/>
  <c r="CP155" i="8"/>
  <c r="CP156" i="8" s="1"/>
  <c r="CQ122" i="8"/>
  <c r="CO123" i="8" s="1"/>
  <c r="CP121" i="8"/>
  <c r="CQ119" i="8"/>
  <c r="CR124" i="8" s="1"/>
  <c r="BS102" i="8"/>
  <c r="BQ103" i="8" s="1"/>
  <c r="BQ106" i="8" s="1"/>
  <c r="BS101" i="8"/>
  <c r="BR105" i="8"/>
  <c r="BR106" i="8" s="1"/>
  <c r="AS169" i="8"/>
  <c r="AS170" i="8" s="1"/>
  <c r="AT167" i="8"/>
  <c r="K141" i="8"/>
  <c r="J145" i="8"/>
  <c r="J146" i="8" s="1"/>
  <c r="K142" i="8"/>
  <c r="I143" i="8" s="1"/>
  <c r="I146" i="8" s="1"/>
  <c r="CQ142" i="8"/>
  <c r="CO143" i="8" s="1"/>
  <c r="CO146" i="8" s="1"/>
  <c r="CQ141" i="8"/>
  <c r="CP145" i="8"/>
  <c r="CP146" i="8" s="1"/>
  <c r="DN173" i="8"/>
  <c r="DN174" i="8" s="1"/>
  <c r="DO172" i="8"/>
  <c r="DO171" i="8"/>
  <c r="BG165" i="8"/>
  <c r="BG166" i="8" s="1"/>
  <c r="BH163" i="8"/>
  <c r="CQ130" i="8"/>
  <c r="CQ127" i="8"/>
  <c r="CP129" i="8"/>
  <c r="V121" i="8"/>
  <c r="W119" i="8"/>
  <c r="X124" i="8" s="1"/>
  <c r="AI167" i="8"/>
  <c r="AH169" i="8"/>
  <c r="AH170" i="8" s="1"/>
  <c r="AI168" i="8"/>
  <c r="AR131" i="8"/>
  <c r="AR132" i="8" s="1"/>
  <c r="CO169" i="8"/>
  <c r="CO170" i="8" s="1"/>
  <c r="CP167" i="8"/>
  <c r="CD101" i="8"/>
  <c r="CC105" i="8"/>
  <c r="BQ151" i="8"/>
  <c r="BR147" i="8"/>
  <c r="BR173" i="8"/>
  <c r="BR174" i="8" s="1"/>
  <c r="BS171" i="8"/>
  <c r="BS172" i="8"/>
  <c r="T131" i="8"/>
  <c r="T132" i="8" s="1"/>
  <c r="T175" i="8" s="1"/>
  <c r="CQ102" i="8"/>
  <c r="CO103" i="8" s="1"/>
  <c r="CO106" i="8" s="1"/>
  <c r="CQ101" i="8"/>
  <c r="CP105" i="8"/>
  <c r="CP106" i="8" s="1"/>
  <c r="J173" i="8"/>
  <c r="J174" i="8" s="1"/>
  <c r="K171" i="8"/>
  <c r="K172" i="8"/>
  <c r="CP117" i="8"/>
  <c r="CP118" i="8" s="1"/>
  <c r="CQ114" i="8"/>
  <c r="CQ113" i="8"/>
  <c r="BS161" i="8"/>
  <c r="BS162" i="8" s="1"/>
  <c r="BT157" i="8"/>
  <c r="AH147" i="8"/>
  <c r="AG151" i="8"/>
  <c r="AS173" i="8"/>
  <c r="AS174" i="8" s="1"/>
  <c r="AT171" i="8"/>
  <c r="DA173" i="8"/>
  <c r="DA174" i="8" s="1"/>
  <c r="DB171" i="8"/>
  <c r="CE167" i="8"/>
  <c r="CD169" i="8"/>
  <c r="CD170" i="8" s="1"/>
  <c r="CE168" i="8"/>
  <c r="J127" i="8"/>
  <c r="DM131" i="8"/>
  <c r="DM132" i="8" s="1"/>
  <c r="DO102" i="8"/>
  <c r="DM103" i="8" s="1"/>
  <c r="DM106" i="8" s="1"/>
  <c r="DO101" i="8"/>
  <c r="DN105" i="8"/>
  <c r="DN106" i="8" s="1"/>
  <c r="CD125" i="8"/>
  <c r="CD126" i="8" s="1"/>
  <c r="AF175" i="8" l="1"/>
  <c r="CZ175" i="8"/>
  <c r="DA115" i="8"/>
  <c r="DA118" i="8" s="1"/>
  <c r="I115" i="8"/>
  <c r="I118" i="8" s="1"/>
  <c r="CC115" i="8"/>
  <c r="CC118" i="8" s="1"/>
  <c r="AS115" i="8"/>
  <c r="AS118" i="8" s="1"/>
  <c r="DM115" i="8"/>
  <c r="DM118" i="8" s="1"/>
  <c r="U115" i="8"/>
  <c r="U118" i="8" s="1"/>
  <c r="BQ115" i="8"/>
  <c r="BQ118" i="8" s="1"/>
  <c r="DL175" i="8"/>
  <c r="CO115" i="8"/>
  <c r="CO118" i="8" s="1"/>
  <c r="AR175" i="8"/>
  <c r="X157" i="8"/>
  <c r="DN161" i="8"/>
  <c r="DN162" i="8" s="1"/>
  <c r="DA111" i="8"/>
  <c r="DO157" i="8"/>
  <c r="DO161" i="8" s="1"/>
  <c r="DO162" i="8" s="1"/>
  <c r="U151" i="8"/>
  <c r="J157" i="8"/>
  <c r="I161" i="8"/>
  <c r="AH121" i="8"/>
  <c r="AH125" i="8" s="1"/>
  <c r="AH126" i="8" s="1"/>
  <c r="AI122" i="8"/>
  <c r="AG123" i="8" s="1"/>
  <c r="AG126" i="8" s="1"/>
  <c r="AI119" i="8"/>
  <c r="AJ124" i="8" s="1"/>
  <c r="DB167" i="8"/>
  <c r="DA169" i="8"/>
  <c r="DA170" i="8" s="1"/>
  <c r="L113" i="8"/>
  <c r="K117" i="8"/>
  <c r="K118" i="8" s="1"/>
  <c r="BQ126" i="8"/>
  <c r="J155" i="8"/>
  <c r="J156" i="8" s="1"/>
  <c r="K153" i="8"/>
  <c r="K154" i="8"/>
  <c r="DM165" i="8"/>
  <c r="DM166" i="8" s="1"/>
  <c r="DN163" i="8"/>
  <c r="DA129" i="8"/>
  <c r="DA131" i="8" s="1"/>
  <c r="DA132" i="8" s="1"/>
  <c r="DB127" i="8"/>
  <c r="DC117" i="8"/>
  <c r="DC118" i="8" s="1"/>
  <c r="DD113" i="8"/>
  <c r="DC119" i="8"/>
  <c r="DD124" i="8" s="1"/>
  <c r="DC122" i="8"/>
  <c r="DA123" i="8" s="1"/>
  <c r="DA126" i="8" s="1"/>
  <c r="DB121" i="8"/>
  <c r="DB125" i="8" s="1"/>
  <c r="DB126" i="8" s="1"/>
  <c r="CE117" i="8"/>
  <c r="CE118" i="8" s="1"/>
  <c r="CF113" i="8"/>
  <c r="CE154" i="8"/>
  <c r="CD155" i="8"/>
  <c r="CD156" i="8" s="1"/>
  <c r="CE153" i="8"/>
  <c r="BG154" i="8"/>
  <c r="BG153" i="8"/>
  <c r="BF155" i="8"/>
  <c r="BF156" i="8" s="1"/>
  <c r="BG119" i="8"/>
  <c r="BH124" i="8" s="1"/>
  <c r="BF121" i="8"/>
  <c r="BF125" i="8" s="1"/>
  <c r="BF126" i="8" s="1"/>
  <c r="BG122" i="8"/>
  <c r="BE123" i="8" s="1"/>
  <c r="BE126" i="8" s="1"/>
  <c r="AT119" i="8"/>
  <c r="AS121" i="8"/>
  <c r="AS125" i="8" s="1"/>
  <c r="AH155" i="8"/>
  <c r="AH156" i="8" s="1"/>
  <c r="AI153" i="8"/>
  <c r="AI154" i="8"/>
  <c r="AJ165" i="8"/>
  <c r="AJ166" i="8" s="1"/>
  <c r="AK163" i="8"/>
  <c r="AG173" i="8"/>
  <c r="AG174" i="8" s="1"/>
  <c r="AH171" i="8"/>
  <c r="AG161" i="8"/>
  <c r="AH157" i="8"/>
  <c r="V171" i="8"/>
  <c r="U173" i="8"/>
  <c r="U174" i="8" s="1"/>
  <c r="BF167" i="8"/>
  <c r="BE169" i="8"/>
  <c r="BE170" i="8" s="1"/>
  <c r="DM126" i="8"/>
  <c r="CO126" i="8"/>
  <c r="AU172" i="8"/>
  <c r="AT173" i="8"/>
  <c r="AT174" i="8" s="1"/>
  <c r="AU171" i="8"/>
  <c r="CP131" i="8"/>
  <c r="CP132" i="8" s="1"/>
  <c r="BS105" i="8"/>
  <c r="BS106" i="8" s="1"/>
  <c r="BT101" i="8"/>
  <c r="CQ155" i="8"/>
  <c r="CQ156" i="8" s="1"/>
  <c r="CR153" i="8"/>
  <c r="BG130" i="8"/>
  <c r="BG127" i="8"/>
  <c r="BF129" i="8"/>
  <c r="BT127" i="8"/>
  <c r="BS129" i="8"/>
  <c r="DP127" i="8"/>
  <c r="DO129" i="8"/>
  <c r="BS108" i="8"/>
  <c r="BQ109" i="8" s="1"/>
  <c r="BQ112" i="8" s="1"/>
  <c r="BS107" i="8"/>
  <c r="BR111" i="8"/>
  <c r="BR112" i="8" s="1"/>
  <c r="BJ113" i="8"/>
  <c r="BI117" i="8"/>
  <c r="BI118" i="8" s="1"/>
  <c r="AU130" i="8"/>
  <c r="AU127" i="8"/>
  <c r="AT129" i="8"/>
  <c r="CH163" i="8"/>
  <c r="CG165" i="8"/>
  <c r="CG166" i="8" s="1"/>
  <c r="BT113" i="8"/>
  <c r="BS117" i="8"/>
  <c r="BS118" i="8" s="1"/>
  <c r="DC107" i="8"/>
  <c r="DB111" i="8"/>
  <c r="DB112" i="8" s="1"/>
  <c r="DC108" i="8"/>
  <c r="DA109" i="8" s="1"/>
  <c r="CE130" i="8"/>
  <c r="CE127" i="8"/>
  <c r="CD129" i="8"/>
  <c r="DB173" i="8"/>
  <c r="DB174" i="8" s="1"/>
  <c r="DC171" i="8"/>
  <c r="DC172" i="8"/>
  <c r="CR113" i="8"/>
  <c r="CQ117" i="8"/>
  <c r="CQ118" i="8" s="1"/>
  <c r="L171" i="8"/>
  <c r="K173" i="8"/>
  <c r="K174" i="8" s="1"/>
  <c r="AU168" i="8"/>
  <c r="AU167" i="8"/>
  <c r="AT169" i="8"/>
  <c r="AT170" i="8" s="1"/>
  <c r="BE131" i="8"/>
  <c r="BE132" i="8" s="1"/>
  <c r="BU163" i="8"/>
  <c r="BT165" i="8"/>
  <c r="BT166" i="8" s="1"/>
  <c r="DC105" i="8"/>
  <c r="DC106" i="8" s="1"/>
  <c r="DD101" i="8"/>
  <c r="BT141" i="8"/>
  <c r="BS145" i="8"/>
  <c r="BS146" i="8" s="1"/>
  <c r="CQ161" i="8"/>
  <c r="CQ162" i="8" s="1"/>
  <c r="CR157" i="8"/>
  <c r="AV161" i="8"/>
  <c r="AV162" i="8" s="1"/>
  <c r="AW157" i="8"/>
  <c r="CE125" i="8"/>
  <c r="CE126" i="8" s="1"/>
  <c r="DO168" i="8"/>
  <c r="DO167" i="8"/>
  <c r="DN169" i="8"/>
  <c r="DN170" i="8" s="1"/>
  <c r="V129" i="8"/>
  <c r="W127" i="8"/>
  <c r="BT119" i="8"/>
  <c r="BS121" i="8"/>
  <c r="CC131" i="8"/>
  <c r="CC132" i="8" s="1"/>
  <c r="DQ153" i="8"/>
  <c r="DP155" i="8"/>
  <c r="DP156" i="8" s="1"/>
  <c r="DO108" i="8"/>
  <c r="DM109" i="8" s="1"/>
  <c r="DM112" i="8" s="1"/>
  <c r="DO107" i="8"/>
  <c r="DN111" i="8"/>
  <c r="DN112" i="8" s="1"/>
  <c r="BT161" i="8"/>
  <c r="BT162" i="8" s="1"/>
  <c r="BU157" i="8"/>
  <c r="CQ105" i="8"/>
  <c r="CQ106" i="8" s="1"/>
  <c r="CR101" i="8"/>
  <c r="BS148" i="8"/>
  <c r="BQ149" i="8" s="1"/>
  <c r="BQ152" i="8" s="1"/>
  <c r="BS147" i="8"/>
  <c r="BR151" i="8"/>
  <c r="BR152" i="8" s="1"/>
  <c r="CE101" i="8"/>
  <c r="CD105" i="8"/>
  <c r="CD106" i="8" s="1"/>
  <c r="CE102" i="8"/>
  <c r="CC103" i="8" s="1"/>
  <c r="CC106" i="8" s="1"/>
  <c r="CR119" i="8"/>
  <c r="CQ121" i="8"/>
  <c r="DN151" i="8"/>
  <c r="DN152" i="8" s="1"/>
  <c r="DO148" i="8"/>
  <c r="DM149" i="8" s="1"/>
  <c r="DM152" i="8" s="1"/>
  <c r="DO147" i="8"/>
  <c r="AX163" i="8"/>
  <c r="AW165" i="8"/>
  <c r="AW166" i="8" s="1"/>
  <c r="Y163" i="8"/>
  <c r="X165" i="8"/>
  <c r="X166" i="8" s="1"/>
  <c r="BF151" i="8"/>
  <c r="BF152" i="8" s="1"/>
  <c r="BG147" i="8"/>
  <c r="BG148" i="8"/>
  <c r="BE149" i="8" s="1"/>
  <c r="BE152" i="8" s="1"/>
  <c r="DP141" i="8"/>
  <c r="DO145" i="8"/>
  <c r="DO146" i="8" s="1"/>
  <c r="AJ107" i="8"/>
  <c r="AI111" i="8"/>
  <c r="AI112" i="8" s="1"/>
  <c r="K105" i="8"/>
  <c r="K106" i="8" s="1"/>
  <c r="L101" i="8"/>
  <c r="DP113" i="8"/>
  <c r="DO117" i="8"/>
  <c r="DO118" i="8" s="1"/>
  <c r="CE107" i="8"/>
  <c r="CD111" i="8"/>
  <c r="CD112" i="8" s="1"/>
  <c r="CE108" i="8"/>
  <c r="CC109" i="8" s="1"/>
  <c r="CC112" i="8" s="1"/>
  <c r="CF121" i="8"/>
  <c r="CG119" i="8"/>
  <c r="AI101" i="8"/>
  <c r="AH105" i="8"/>
  <c r="AH106" i="8" s="1"/>
  <c r="AI102" i="8"/>
  <c r="AG103" i="8" s="1"/>
  <c r="AG106" i="8" s="1"/>
  <c r="AI141" i="8"/>
  <c r="AH145" i="8"/>
  <c r="AH146" i="8" s="1"/>
  <c r="AI142" i="8"/>
  <c r="AG143" i="8" s="1"/>
  <c r="AG146" i="8" s="1"/>
  <c r="CP173" i="8"/>
  <c r="CP174" i="8" s="1"/>
  <c r="CQ172" i="8"/>
  <c r="CQ171" i="8"/>
  <c r="DC157" i="8"/>
  <c r="DB161" i="8"/>
  <c r="DB162" i="8" s="1"/>
  <c r="DC158" i="8"/>
  <c r="DA159" i="8" s="1"/>
  <c r="DA162" i="8" s="1"/>
  <c r="U131" i="8"/>
  <c r="U132" i="8" s="1"/>
  <c r="BR125" i="8"/>
  <c r="BR126" i="8" s="1"/>
  <c r="DN125" i="8"/>
  <c r="DN126" i="8" s="1"/>
  <c r="CP151" i="8"/>
  <c r="CP152" i="8" s="1"/>
  <c r="CQ148" i="8"/>
  <c r="CO149" i="8" s="1"/>
  <c r="CO152" i="8" s="1"/>
  <c r="CQ147" i="8"/>
  <c r="AU105" i="8"/>
  <c r="AU106" i="8" s="1"/>
  <c r="AV101" i="8"/>
  <c r="BH107" i="8"/>
  <c r="BG111" i="8"/>
  <c r="BG112" i="8" s="1"/>
  <c r="BH141" i="8"/>
  <c r="BG145" i="8"/>
  <c r="BG146" i="8" s="1"/>
  <c r="BU153" i="8"/>
  <c r="BT155" i="8"/>
  <c r="BT156" i="8" s="1"/>
  <c r="DE163" i="8"/>
  <c r="DD165" i="8"/>
  <c r="DD166" i="8" s="1"/>
  <c r="CE169" i="8"/>
  <c r="CE170" i="8" s="1"/>
  <c r="CF167" i="8"/>
  <c r="AI147" i="8"/>
  <c r="AH151" i="8"/>
  <c r="AH152" i="8" s="1"/>
  <c r="AI148" i="8"/>
  <c r="AG149" i="8" s="1"/>
  <c r="AG152" i="8" s="1"/>
  <c r="X119" i="8"/>
  <c r="W121" i="8"/>
  <c r="L141" i="8"/>
  <c r="K145" i="8"/>
  <c r="K146" i="8" s="1"/>
  <c r="AL113" i="8"/>
  <c r="AK117" i="8"/>
  <c r="AK118" i="8" s="1"/>
  <c r="AV113" i="8"/>
  <c r="AU117" i="8"/>
  <c r="AU118" i="8" s="1"/>
  <c r="AI130" i="8"/>
  <c r="AI127" i="8"/>
  <c r="AH129" i="8"/>
  <c r="W168" i="8"/>
  <c r="W167" i="8"/>
  <c r="V169" i="8"/>
  <c r="V170" i="8" s="1"/>
  <c r="CQ108" i="8"/>
  <c r="CO109" i="8" s="1"/>
  <c r="CO112" i="8" s="1"/>
  <c r="CQ107" i="8"/>
  <c r="CP111" i="8"/>
  <c r="CP112" i="8" s="1"/>
  <c r="DE153" i="8"/>
  <c r="DD155" i="8"/>
  <c r="DD156" i="8" s="1"/>
  <c r="BS168" i="8"/>
  <c r="BS167" i="8"/>
  <c r="BR169" i="8"/>
  <c r="BR170" i="8" s="1"/>
  <c r="W148" i="8"/>
  <c r="U149" i="8" s="1"/>
  <c r="U152" i="8" s="1"/>
  <c r="W147" i="8"/>
  <c r="V151" i="8"/>
  <c r="V152" i="8" s="1"/>
  <c r="Y157" i="8"/>
  <c r="X161" i="8"/>
  <c r="X162" i="8" s="1"/>
  <c r="V125" i="8"/>
  <c r="V126" i="8" s="1"/>
  <c r="CR127" i="8"/>
  <c r="CQ129" i="8"/>
  <c r="CR141" i="8"/>
  <c r="CQ145" i="8"/>
  <c r="CQ146" i="8" s="1"/>
  <c r="BG105" i="8"/>
  <c r="BG106" i="8" s="1"/>
  <c r="BH101" i="8"/>
  <c r="AG131" i="8"/>
  <c r="AG132" i="8" s="1"/>
  <c r="Y153" i="8"/>
  <c r="X155" i="8"/>
  <c r="X156" i="8" s="1"/>
  <c r="DD141" i="8"/>
  <c r="DC145" i="8"/>
  <c r="DC146" i="8" s="1"/>
  <c r="DP119" i="8"/>
  <c r="DO121" i="8"/>
  <c r="AS131" i="8"/>
  <c r="AS132" i="8" s="1"/>
  <c r="AV141" i="8"/>
  <c r="AU145" i="8"/>
  <c r="AU146" i="8" s="1"/>
  <c r="K167" i="8"/>
  <c r="J169" i="8"/>
  <c r="J170" i="8" s="1"/>
  <c r="K168" i="8"/>
  <c r="CQ165" i="8"/>
  <c r="CQ166" i="8" s="1"/>
  <c r="CR163" i="8"/>
  <c r="AU155" i="8"/>
  <c r="AU156" i="8" s="1"/>
  <c r="AV153" i="8"/>
  <c r="L107" i="8"/>
  <c r="K111" i="8"/>
  <c r="K112" i="8" s="1"/>
  <c r="DO105" i="8"/>
  <c r="DO106" i="8" s="1"/>
  <c r="DP101" i="8"/>
  <c r="K127" i="8"/>
  <c r="BT171" i="8"/>
  <c r="BS173" i="8"/>
  <c r="BS174" i="8" s="1"/>
  <c r="CQ168" i="8"/>
  <c r="CQ167" i="8"/>
  <c r="CP169" i="8"/>
  <c r="CP170" i="8" s="1"/>
  <c r="AI169" i="8"/>
  <c r="AI170" i="8" s="1"/>
  <c r="AJ167" i="8"/>
  <c r="BI163" i="8"/>
  <c r="BH165" i="8"/>
  <c r="BH166" i="8" s="1"/>
  <c r="DP171" i="8"/>
  <c r="DO173" i="8"/>
  <c r="DO174" i="8" s="1"/>
  <c r="CP125" i="8"/>
  <c r="CP126" i="8" s="1"/>
  <c r="CE147" i="8"/>
  <c r="CE148" i="8"/>
  <c r="CC149" i="8" s="1"/>
  <c r="CC152" i="8" s="1"/>
  <c r="CD151" i="8"/>
  <c r="CD152" i="8" s="1"/>
  <c r="CD173" i="8"/>
  <c r="CD174" i="8" s="1"/>
  <c r="CE171" i="8"/>
  <c r="CE172" i="8"/>
  <c r="J151" i="8"/>
  <c r="J152" i="8" s="1"/>
  <c r="K147" i="8"/>
  <c r="K148" i="8"/>
  <c r="CE161" i="8"/>
  <c r="CE162" i="8" s="1"/>
  <c r="CF157" i="8"/>
  <c r="BR131" i="8"/>
  <c r="BR132" i="8" s="1"/>
  <c r="BG161" i="8"/>
  <c r="BG162" i="8" s="1"/>
  <c r="BH157" i="8"/>
  <c r="X107" i="8"/>
  <c r="W111" i="8"/>
  <c r="W112" i="8" s="1"/>
  <c r="DN131" i="8"/>
  <c r="DN132" i="8" s="1"/>
  <c r="M119" i="8"/>
  <c r="AV107" i="8"/>
  <c r="AU111" i="8"/>
  <c r="AU112" i="8" s="1"/>
  <c r="BF173" i="8"/>
  <c r="BF174" i="8" s="1"/>
  <c r="BG171" i="8"/>
  <c r="BG172" i="8"/>
  <c r="X141" i="8"/>
  <c r="W145" i="8"/>
  <c r="W146" i="8" s="1"/>
  <c r="CE141" i="8"/>
  <c r="CD145" i="8"/>
  <c r="CD146" i="8" s="1"/>
  <c r="CE142" i="8"/>
  <c r="CC143" i="8" s="1"/>
  <c r="CC146" i="8" s="1"/>
  <c r="M163" i="8"/>
  <c r="L165" i="8"/>
  <c r="L166" i="8" s="1"/>
  <c r="X113" i="8"/>
  <c r="W117" i="8"/>
  <c r="W118" i="8" s="1"/>
  <c r="DC147" i="8"/>
  <c r="DB151" i="8"/>
  <c r="DB152" i="8" s="1"/>
  <c r="DC148" i="8"/>
  <c r="DA149" i="8" s="1"/>
  <c r="DA152" i="8" s="1"/>
  <c r="W105" i="8"/>
  <c r="W106" i="8" s="1"/>
  <c r="X101" i="8"/>
  <c r="AT151" i="8"/>
  <c r="AT152" i="8" s="1"/>
  <c r="AU148" i="8"/>
  <c r="AS149" i="8" s="1"/>
  <c r="AS152" i="8" s="1"/>
  <c r="AU147" i="8"/>
  <c r="DP157" i="8" l="1"/>
  <c r="BE175" i="8"/>
  <c r="CO175" i="8"/>
  <c r="DM175" i="8"/>
  <c r="BR175" i="8"/>
  <c r="CC175" i="8"/>
  <c r="CP175" i="8"/>
  <c r="BQ175" i="8"/>
  <c r="DA112" i="8"/>
  <c r="DA175" i="8" s="1"/>
  <c r="I149" i="8"/>
  <c r="I152" i="8" s="1"/>
  <c r="J161" i="8"/>
  <c r="J162" i="8" s="1"/>
  <c r="K157" i="8"/>
  <c r="K158" i="8"/>
  <c r="I159" i="8" s="1"/>
  <c r="I162" i="8" s="1"/>
  <c r="DC167" i="8"/>
  <c r="DB169" i="8"/>
  <c r="DB170" i="8" s="1"/>
  <c r="DC168" i="8"/>
  <c r="AJ119" i="8"/>
  <c r="AI121" i="8"/>
  <c r="AI125" i="8" s="1"/>
  <c r="AI126" i="8" s="1"/>
  <c r="L117" i="8"/>
  <c r="L118" i="8" s="1"/>
  <c r="M113" i="8"/>
  <c r="L153" i="8"/>
  <c r="K155" i="8"/>
  <c r="K156" i="8" s="1"/>
  <c r="DN165" i="8"/>
  <c r="DN166" i="8" s="1"/>
  <c r="DN175" i="8" s="1"/>
  <c r="DO164" i="8"/>
  <c r="DO163" i="8"/>
  <c r="DD119" i="8"/>
  <c r="DC121" i="8"/>
  <c r="DC125" i="8" s="1"/>
  <c r="DC126" i="8" s="1"/>
  <c r="DC127" i="8"/>
  <c r="DB129" i="8"/>
  <c r="DB131" i="8" s="1"/>
  <c r="DB132" i="8" s="1"/>
  <c r="DB175" i="8" s="1"/>
  <c r="DC130" i="8"/>
  <c r="DD117" i="8"/>
  <c r="DD118" i="8" s="1"/>
  <c r="DE113" i="8"/>
  <c r="CE155" i="8"/>
  <c r="CE156" i="8" s="1"/>
  <c r="CF153" i="8"/>
  <c r="CF117" i="8"/>
  <c r="CF118" i="8" s="1"/>
  <c r="CG113" i="8"/>
  <c r="BG121" i="8"/>
  <c r="BG125" i="8" s="1"/>
  <c r="BG126" i="8" s="1"/>
  <c r="BH119" i="8"/>
  <c r="BH153" i="8"/>
  <c r="BG155" i="8"/>
  <c r="BG156" i="8" s="1"/>
  <c r="AU119" i="8"/>
  <c r="AV124" i="8" s="1"/>
  <c r="AU122" i="8"/>
  <c r="AS123" i="8" s="1"/>
  <c r="AS126" i="8" s="1"/>
  <c r="AS175" i="8" s="1"/>
  <c r="AT121" i="8"/>
  <c r="AT125" i="8" s="1"/>
  <c r="AT126" i="8" s="1"/>
  <c r="AI158" i="8"/>
  <c r="AG159" i="8" s="1"/>
  <c r="AG162" i="8" s="1"/>
  <c r="AG175" i="8" s="1"/>
  <c r="AH161" i="8"/>
  <c r="AH162" i="8" s="1"/>
  <c r="AI157" i="8"/>
  <c r="AL163" i="8"/>
  <c r="AK165" i="8"/>
  <c r="AK166" i="8" s="1"/>
  <c r="AI155" i="8"/>
  <c r="AI156" i="8" s="1"/>
  <c r="AJ153" i="8"/>
  <c r="AH173" i="8"/>
  <c r="AH174" i="8" s="1"/>
  <c r="AI171" i="8"/>
  <c r="AI172" i="8"/>
  <c r="W171" i="8"/>
  <c r="V173" i="8"/>
  <c r="V174" i="8" s="1"/>
  <c r="W172" i="8"/>
  <c r="BG168" i="8"/>
  <c r="BG167" i="8"/>
  <c r="BF169" i="8"/>
  <c r="BF170" i="8" s="1"/>
  <c r="X105" i="8"/>
  <c r="X106" i="8" s="1"/>
  <c r="Y101" i="8"/>
  <c r="CR107" i="8"/>
  <c r="CQ111" i="8"/>
  <c r="CQ112" i="8" s="1"/>
  <c r="AV105" i="8"/>
  <c r="AV106" i="8" s="1"/>
  <c r="AW101" i="8"/>
  <c r="CQ151" i="8"/>
  <c r="CQ152" i="8" s="1"/>
  <c r="CR147" i="8"/>
  <c r="AJ141" i="8"/>
  <c r="AI145" i="8"/>
  <c r="AI146" i="8" s="1"/>
  <c r="Z163" i="8"/>
  <c r="Y165" i="8"/>
  <c r="Y166" i="8" s="1"/>
  <c r="BS151" i="8"/>
  <c r="BS152" i="8" s="1"/>
  <c r="BT147" i="8"/>
  <c r="V131" i="8"/>
  <c r="V132" i="8" s="1"/>
  <c r="AW161" i="8"/>
  <c r="AW162" i="8" s="1"/>
  <c r="AX157" i="8"/>
  <c r="BT145" i="8"/>
  <c r="BT146" i="8" s="1"/>
  <c r="BU141" i="8"/>
  <c r="CR117" i="8"/>
  <c r="CR118" i="8" s="1"/>
  <c r="CS113" i="8"/>
  <c r="DO131" i="8"/>
  <c r="DO132" i="8" s="1"/>
  <c r="BT105" i="8"/>
  <c r="BT106" i="8" s="1"/>
  <c r="BU101" i="8"/>
  <c r="AU151" i="8"/>
  <c r="AU152" i="8" s="1"/>
  <c r="AV147" i="8"/>
  <c r="N163" i="8"/>
  <c r="M165" i="8"/>
  <c r="M166" i="8" s="1"/>
  <c r="CF141" i="8"/>
  <c r="CE145" i="8"/>
  <c r="CE146" i="8" s="1"/>
  <c r="BI157" i="8"/>
  <c r="BH161" i="8"/>
  <c r="BH162" i="8" s="1"/>
  <c r="BJ163" i="8"/>
  <c r="BI165" i="8"/>
  <c r="BI166" i="8" s="1"/>
  <c r="L127" i="8"/>
  <c r="AW153" i="8"/>
  <c r="AV155" i="8"/>
  <c r="AV156" i="8" s="1"/>
  <c r="AV145" i="8"/>
  <c r="AV146" i="8" s="1"/>
  <c r="AW141" i="8"/>
  <c r="DP121" i="8"/>
  <c r="DQ119" i="8"/>
  <c r="CR145" i="8"/>
  <c r="CR146" i="8" s="1"/>
  <c r="CS141" i="8"/>
  <c r="L145" i="8"/>
  <c r="L146" i="8" s="1"/>
  <c r="M141" i="8"/>
  <c r="BU155" i="8"/>
  <c r="BU156" i="8" s="1"/>
  <c r="BV153" i="8"/>
  <c r="CR171" i="8"/>
  <c r="CQ173" i="8"/>
  <c r="CQ174" i="8" s="1"/>
  <c r="DO151" i="8"/>
  <c r="DO152" i="8" s="1"/>
  <c r="DP147" i="8"/>
  <c r="CQ125" i="8"/>
  <c r="CQ126" i="8" s="1"/>
  <c r="BS125" i="8"/>
  <c r="BS126" i="8" s="1"/>
  <c r="DD105" i="8"/>
  <c r="DD106" i="8" s="1"/>
  <c r="DE101" i="8"/>
  <c r="AU169" i="8"/>
  <c r="AU170" i="8" s="1"/>
  <c r="AV167" i="8"/>
  <c r="L173" i="8"/>
  <c r="L174" i="8" s="1"/>
  <c r="M171" i="8"/>
  <c r="CD131" i="8"/>
  <c r="CD132" i="8" s="1"/>
  <c r="CD175" i="8" s="1"/>
  <c r="BT107" i="8"/>
  <c r="BS111" i="8"/>
  <c r="BS112" i="8" s="1"/>
  <c r="DQ127" i="8"/>
  <c r="DP129" i="8"/>
  <c r="BF131" i="8"/>
  <c r="BF132" i="8" s="1"/>
  <c r="CS153" i="8"/>
  <c r="CR155" i="8"/>
  <c r="CR156" i="8" s="1"/>
  <c r="AU173" i="8"/>
  <c r="AU174" i="8" s="1"/>
  <c r="AV171" i="8"/>
  <c r="X145" i="8"/>
  <c r="X146" i="8" s="1"/>
  <c r="Y141" i="8"/>
  <c r="X111" i="8"/>
  <c r="X112" i="8" s="1"/>
  <c r="Y107" i="8"/>
  <c r="L111" i="8"/>
  <c r="L112" i="8" s="1"/>
  <c r="M107" i="8"/>
  <c r="W169" i="8"/>
  <c r="W170" i="8" s="1"/>
  <c r="X167" i="8"/>
  <c r="DC151" i="8"/>
  <c r="DC152" i="8" s="1"/>
  <c r="DD147" i="8"/>
  <c r="X117" i="8"/>
  <c r="X118" i="8" s="1"/>
  <c r="Y113" i="8"/>
  <c r="BH171" i="8"/>
  <c r="BG173" i="8"/>
  <c r="BG174" i="8" s="1"/>
  <c r="N119" i="8"/>
  <c r="CG157" i="8"/>
  <c r="CF161" i="8"/>
  <c r="CF162" i="8" s="1"/>
  <c r="CF171" i="8"/>
  <c r="CE173" i="8"/>
  <c r="CE174" i="8" s="1"/>
  <c r="DQ171" i="8"/>
  <c r="DP173" i="8"/>
  <c r="DP174" i="8" s="1"/>
  <c r="AJ169" i="8"/>
  <c r="AJ170" i="8" s="1"/>
  <c r="AK167" i="8"/>
  <c r="BT173" i="8"/>
  <c r="BT174" i="8" s="1"/>
  <c r="BU171" i="8"/>
  <c r="K169" i="8"/>
  <c r="K170" i="8" s="1"/>
  <c r="L167" i="8"/>
  <c r="Y155" i="8"/>
  <c r="Y156" i="8" s="1"/>
  <c r="Z153" i="8"/>
  <c r="CQ131" i="8"/>
  <c r="CQ132" i="8" s="1"/>
  <c r="W151" i="8"/>
  <c r="W152" i="8" s="1"/>
  <c r="X147" i="8"/>
  <c r="BS169" i="8"/>
  <c r="BS170" i="8" s="1"/>
  <c r="BT167" i="8"/>
  <c r="DE155" i="8"/>
  <c r="DE156" i="8" s="1"/>
  <c r="DF153" i="8"/>
  <c r="AH131" i="8"/>
  <c r="AH132" i="8" s="1"/>
  <c r="AH175" i="8" s="1"/>
  <c r="AL117" i="8"/>
  <c r="AL118" i="8" s="1"/>
  <c r="AM113" i="8"/>
  <c r="W125" i="8"/>
  <c r="DP161" i="8"/>
  <c r="DP162" i="8" s="1"/>
  <c r="DQ157" i="8"/>
  <c r="CF107" i="8"/>
  <c r="CE111" i="8"/>
  <c r="CE112" i="8" s="1"/>
  <c r="DP117" i="8"/>
  <c r="DP118" i="8" s="1"/>
  <c r="DQ113" i="8"/>
  <c r="L105" i="8"/>
  <c r="L106" i="8" s="1"/>
  <c r="M101" i="8"/>
  <c r="CR121" i="8"/>
  <c r="CS119" i="8"/>
  <c r="CE105" i="8"/>
  <c r="CE106" i="8" s="1"/>
  <c r="CF101" i="8"/>
  <c r="BU161" i="8"/>
  <c r="BU162" i="8" s="1"/>
  <c r="BV157" i="8"/>
  <c r="DP107" i="8"/>
  <c r="DO111" i="8"/>
  <c r="DO112" i="8" s="1"/>
  <c r="BT121" i="8"/>
  <c r="BU119" i="8"/>
  <c r="BV163" i="8"/>
  <c r="BU165" i="8"/>
  <c r="BU166" i="8" s="1"/>
  <c r="DD171" i="8"/>
  <c r="DC173" i="8"/>
  <c r="DC174" i="8" s="1"/>
  <c r="CF127" i="8"/>
  <c r="CE129" i="8"/>
  <c r="DD107" i="8"/>
  <c r="DC111" i="8"/>
  <c r="DC112" i="8" s="1"/>
  <c r="BT117" i="8"/>
  <c r="BT118" i="8" s="1"/>
  <c r="BU113" i="8"/>
  <c r="AT131" i="8"/>
  <c r="AT132" i="8" s="1"/>
  <c r="BS131" i="8"/>
  <c r="BS132" i="8" s="1"/>
  <c r="BH127" i="8"/>
  <c r="BG129" i="8"/>
  <c r="CE151" i="8"/>
  <c r="CE152" i="8" s="1"/>
  <c r="CF147" i="8"/>
  <c r="CS163" i="8"/>
  <c r="CR165" i="8"/>
  <c r="CR166" i="8" s="1"/>
  <c r="DO125" i="8"/>
  <c r="DO126" i="8" s="1"/>
  <c r="DD145" i="8"/>
  <c r="DD146" i="8" s="1"/>
  <c r="DE141" i="8"/>
  <c r="CF169" i="8"/>
  <c r="CF170" i="8" s="1"/>
  <c r="CG167" i="8"/>
  <c r="BH145" i="8"/>
  <c r="BH146" i="8" s="1"/>
  <c r="BI141" i="8"/>
  <c r="DC161" i="8"/>
  <c r="DC162" i="8" s="1"/>
  <c r="DD157" i="8"/>
  <c r="AI105" i="8"/>
  <c r="AI106" i="8" s="1"/>
  <c r="AJ101" i="8"/>
  <c r="CF125" i="8"/>
  <c r="CF126" i="8" s="1"/>
  <c r="BG151" i="8"/>
  <c r="BG152" i="8" s="1"/>
  <c r="BH147" i="8"/>
  <c r="DO169" i="8"/>
  <c r="DO170" i="8" s="1"/>
  <c r="DP167" i="8"/>
  <c r="CI163" i="8"/>
  <c r="CH165" i="8"/>
  <c r="CH166" i="8" s="1"/>
  <c r="AV111" i="8"/>
  <c r="AV112" i="8" s="1"/>
  <c r="AW107" i="8"/>
  <c r="K151" i="8"/>
  <c r="K152" i="8" s="1"/>
  <c r="L147" i="8"/>
  <c r="CQ169" i="8"/>
  <c r="CQ170" i="8" s="1"/>
  <c r="CR167" i="8"/>
  <c r="DP105" i="8"/>
  <c r="DP106" i="8" s="1"/>
  <c r="DQ101" i="8"/>
  <c r="BH105" i="8"/>
  <c r="BH106" i="8" s="1"/>
  <c r="BI101" i="8"/>
  <c r="CS127" i="8"/>
  <c r="CR129" i="8"/>
  <c r="Y161" i="8"/>
  <c r="Y162" i="8" s="1"/>
  <c r="Z157" i="8"/>
  <c r="AI129" i="8"/>
  <c r="AJ127" i="8"/>
  <c r="AV117" i="8"/>
  <c r="AV118" i="8" s="1"/>
  <c r="AW113" i="8"/>
  <c r="X121" i="8"/>
  <c r="Y119" i="8"/>
  <c r="AI151" i="8"/>
  <c r="AI152" i="8" s="1"/>
  <c r="AJ147" i="8"/>
  <c r="DF163" i="8"/>
  <c r="DE165" i="8"/>
  <c r="DE166" i="8" s="1"/>
  <c r="BH111" i="8"/>
  <c r="BH112" i="8" s="1"/>
  <c r="BI107" i="8"/>
  <c r="CH119" i="8"/>
  <c r="CG121" i="8"/>
  <c r="AJ111" i="8"/>
  <c r="AJ112" i="8" s="1"/>
  <c r="AK107" i="8"/>
  <c r="DP145" i="8"/>
  <c r="DP146" i="8" s="1"/>
  <c r="DQ141" i="8"/>
  <c r="AY163" i="8"/>
  <c r="AX165" i="8"/>
  <c r="AX166" i="8" s="1"/>
  <c r="CR105" i="8"/>
  <c r="CR106" i="8" s="1"/>
  <c r="CS101" i="8"/>
  <c r="DQ155" i="8"/>
  <c r="DQ156" i="8" s="1"/>
  <c r="DR153" i="8"/>
  <c r="W129" i="8"/>
  <c r="X127" i="8"/>
  <c r="CR161" i="8"/>
  <c r="CR162" i="8" s="1"/>
  <c r="CS157" i="8"/>
  <c r="AU129" i="8"/>
  <c r="AV127" i="8"/>
  <c r="BJ117" i="8"/>
  <c r="BJ118" i="8" s="1"/>
  <c r="BK113" i="8"/>
  <c r="BT129" i="8"/>
  <c r="BU127" i="8"/>
  <c r="BF175" i="8" l="1"/>
  <c r="V175" i="8"/>
  <c r="BS175" i="8"/>
  <c r="CQ175" i="8"/>
  <c r="AT175" i="8"/>
  <c r="L157" i="8"/>
  <c r="K161" i="8"/>
  <c r="K162" i="8" s="1"/>
  <c r="AK119" i="8"/>
  <c r="AJ121" i="8"/>
  <c r="AJ125" i="8" s="1"/>
  <c r="AJ126" i="8" s="1"/>
  <c r="N113" i="8"/>
  <c r="M117" i="8"/>
  <c r="M118" i="8" s="1"/>
  <c r="DD167" i="8"/>
  <c r="DC169" i="8"/>
  <c r="DC170" i="8" s="1"/>
  <c r="L155" i="8"/>
  <c r="L156" i="8" s="1"/>
  <c r="M153" i="8"/>
  <c r="DP163" i="8"/>
  <c r="DO165" i="8"/>
  <c r="DO166" i="8" s="1"/>
  <c r="DO175" i="8" s="1"/>
  <c r="DF113" i="8"/>
  <c r="DE117" i="8"/>
  <c r="DE118" i="8" s="1"/>
  <c r="DD127" i="8"/>
  <c r="DC129" i="8"/>
  <c r="DC131" i="8" s="1"/>
  <c r="DC132" i="8" s="1"/>
  <c r="DC175" i="8" s="1"/>
  <c r="DE119" i="8"/>
  <c r="DD121" i="8"/>
  <c r="CG153" i="8"/>
  <c r="CF155" i="8"/>
  <c r="CF156" i="8" s="1"/>
  <c r="CG117" i="8"/>
  <c r="CG118" i="8" s="1"/>
  <c r="CH113" i="8"/>
  <c r="BI153" i="8"/>
  <c r="BH155" i="8"/>
  <c r="BH156" i="8" s="1"/>
  <c r="BH121" i="8"/>
  <c r="BH125" i="8" s="1"/>
  <c r="BH126" i="8" s="1"/>
  <c r="BI119" i="8"/>
  <c r="AV119" i="8"/>
  <c r="AU121" i="8"/>
  <c r="AU125" i="8" s="1"/>
  <c r="AU126" i="8" s="1"/>
  <c r="AI161" i="8"/>
  <c r="AI162" i="8" s="1"/>
  <c r="AJ157" i="8"/>
  <c r="AI173" i="8"/>
  <c r="AI174" i="8" s="1"/>
  <c r="AJ171" i="8"/>
  <c r="AK153" i="8"/>
  <c r="AJ155" i="8"/>
  <c r="AJ156" i="8" s="1"/>
  <c r="AM163" i="8"/>
  <c r="AL165" i="8"/>
  <c r="AL166" i="8" s="1"/>
  <c r="X171" i="8"/>
  <c r="W173" i="8"/>
  <c r="W174" i="8" s="1"/>
  <c r="BG169" i="8"/>
  <c r="BG170" i="8" s="1"/>
  <c r="BH167" i="8"/>
  <c r="BL113" i="8"/>
  <c r="BL114" i="8"/>
  <c r="BK115" i="8" s="1"/>
  <c r="BK117" i="8"/>
  <c r="AY165" i="8"/>
  <c r="AY166" i="8" s="1"/>
  <c r="AZ164" i="8"/>
  <c r="AZ163" i="8"/>
  <c r="X125" i="8"/>
  <c r="X126" i="8" s="1"/>
  <c r="CI165" i="8"/>
  <c r="CI166" i="8" s="1"/>
  <c r="CJ164" i="8"/>
  <c r="CJ163" i="8"/>
  <c r="DD161" i="8"/>
  <c r="DD162" i="8" s="1"/>
  <c r="DE157" i="8"/>
  <c r="BW153" i="8"/>
  <c r="BV155" i="8"/>
  <c r="BV156" i="8" s="1"/>
  <c r="AU131" i="8"/>
  <c r="AU132" i="8" s="1"/>
  <c r="X129" i="8"/>
  <c r="Y127" i="8"/>
  <c r="DR141" i="8"/>
  <c r="DQ145" i="8"/>
  <c r="DQ146" i="8" s="1"/>
  <c r="AX113" i="8"/>
  <c r="AW117" i="8"/>
  <c r="AW118" i="8" s="1"/>
  <c r="AI131" i="8"/>
  <c r="AI132" i="8" s="1"/>
  <c r="Z161" i="8"/>
  <c r="Z162" i="8" s="1"/>
  <c r="AA157" i="8"/>
  <c r="CS129" i="8"/>
  <c r="CT127" i="8"/>
  <c r="DR101" i="8"/>
  <c r="DQ105" i="8"/>
  <c r="DQ106" i="8" s="1"/>
  <c r="DP169" i="8"/>
  <c r="DP170" i="8" s="1"/>
  <c r="DQ167" i="8"/>
  <c r="AK101" i="8"/>
  <c r="AJ105" i="8"/>
  <c r="AJ106" i="8" s="1"/>
  <c r="DF141" i="8"/>
  <c r="DE145" i="8"/>
  <c r="DE146" i="8" s="1"/>
  <c r="CF151" i="8"/>
  <c r="CF152" i="8" s="1"/>
  <c r="CG147" i="8"/>
  <c r="BV113" i="8"/>
  <c r="BU117" i="8"/>
  <c r="BU118" i="8" s="1"/>
  <c r="BV119" i="8"/>
  <c r="BU121" i="8"/>
  <c r="DP111" i="8"/>
  <c r="DP112" i="8" s="1"/>
  <c r="DQ107" i="8"/>
  <c r="CG101" i="8"/>
  <c r="CF105" i="8"/>
  <c r="CF106" i="8" s="1"/>
  <c r="CR125" i="8"/>
  <c r="CR126" i="8" s="1"/>
  <c r="DR113" i="8"/>
  <c r="DQ117" i="8"/>
  <c r="DQ118" i="8" s="1"/>
  <c r="DQ161" i="8"/>
  <c r="DQ162" i="8" s="1"/>
  <c r="DR157" i="8"/>
  <c r="BU173" i="8"/>
  <c r="BU174" i="8" s="1"/>
  <c r="BV171" i="8"/>
  <c r="N107" i="8"/>
  <c r="M111" i="8"/>
  <c r="M112" i="8" s="1"/>
  <c r="AV169" i="8"/>
  <c r="AV170" i="8" s="1"/>
  <c r="AW167" i="8"/>
  <c r="DP151" i="8"/>
  <c r="DP152" i="8" s="1"/>
  <c r="DQ147" i="8"/>
  <c r="N141" i="8"/>
  <c r="M145" i="8"/>
  <c r="M146" i="8" s="1"/>
  <c r="AW155" i="8"/>
  <c r="AW156" i="8" s="1"/>
  <c r="AX153" i="8"/>
  <c r="BI161" i="8"/>
  <c r="BI162" i="8" s="1"/>
  <c r="BJ157" i="8"/>
  <c r="AY157" i="8"/>
  <c r="AX161" i="8"/>
  <c r="AX162" i="8" s="1"/>
  <c r="AJ145" i="8"/>
  <c r="AJ146" i="8" s="1"/>
  <c r="AK141" i="8"/>
  <c r="AW105" i="8"/>
  <c r="AW106" i="8" s="1"/>
  <c r="AX101" i="8"/>
  <c r="AV129" i="8"/>
  <c r="AW127" i="8"/>
  <c r="AL107" i="8"/>
  <c r="AK111" i="8"/>
  <c r="AK112" i="8" s="1"/>
  <c r="CH121" i="8"/>
  <c r="CI119" i="8"/>
  <c r="AJ151" i="8"/>
  <c r="AJ152" i="8" s="1"/>
  <c r="AK147" i="8"/>
  <c r="AJ129" i="8"/>
  <c r="AK127" i="8"/>
  <c r="CR131" i="8"/>
  <c r="CR132" i="8" s="1"/>
  <c r="CR169" i="8"/>
  <c r="CR170" i="8" s="1"/>
  <c r="CS167" i="8"/>
  <c r="BH129" i="8"/>
  <c r="BI127" i="8"/>
  <c r="CF129" i="8"/>
  <c r="CG127" i="8"/>
  <c r="BW163" i="8"/>
  <c r="BV165" i="8"/>
  <c r="BV166" i="8" s="1"/>
  <c r="AK169" i="8"/>
  <c r="AK170" i="8" s="1"/>
  <c r="AL167" i="8"/>
  <c r="O119" i="8"/>
  <c r="Z113" i="8"/>
  <c r="Y117" i="8"/>
  <c r="Y118" i="8" s="1"/>
  <c r="Z107" i="8"/>
  <c r="Y111" i="8"/>
  <c r="Y112" i="8" s="1"/>
  <c r="AW171" i="8"/>
  <c r="AV173" i="8"/>
  <c r="AV174" i="8" s="1"/>
  <c r="CS155" i="8"/>
  <c r="CS156" i="8" s="1"/>
  <c r="CT153" i="8"/>
  <c r="CT141" i="8"/>
  <c r="CS145" i="8"/>
  <c r="CS146" i="8" s="1"/>
  <c r="AX141" i="8"/>
  <c r="AW145" i="8"/>
  <c r="AW146" i="8" s="1"/>
  <c r="M127" i="8"/>
  <c r="CF145" i="8"/>
  <c r="CF146" i="8" s="1"/>
  <c r="CG141" i="8"/>
  <c r="CR111" i="8"/>
  <c r="CR112" i="8" s="1"/>
  <c r="CS107" i="8"/>
  <c r="BU129" i="8"/>
  <c r="BV127" i="8"/>
  <c r="CS161" i="8"/>
  <c r="CS162" i="8" s="1"/>
  <c r="CT157" i="8"/>
  <c r="W131" i="8"/>
  <c r="CT101" i="8"/>
  <c r="CS105" i="8"/>
  <c r="CS106" i="8" s="1"/>
  <c r="BJ107" i="8"/>
  <c r="BI111" i="8"/>
  <c r="BI112" i="8" s="1"/>
  <c r="BI105" i="8"/>
  <c r="BI106" i="8" s="1"/>
  <c r="BJ101" i="8"/>
  <c r="DD111" i="8"/>
  <c r="DD112" i="8" s="1"/>
  <c r="DE107" i="8"/>
  <c r="BT125" i="8"/>
  <c r="BT126" i="8" s="1"/>
  <c r="BW157" i="8"/>
  <c r="BV161" i="8"/>
  <c r="BV162" i="8" s="1"/>
  <c r="M105" i="8"/>
  <c r="M106" i="8" s="1"/>
  <c r="N101" i="8"/>
  <c r="CF111" i="8"/>
  <c r="CF112" i="8" s="1"/>
  <c r="CG107" i="8"/>
  <c r="AN113" i="8"/>
  <c r="AN114" i="8"/>
  <c r="AM115" i="8" s="1"/>
  <c r="AM117" i="8"/>
  <c r="X151" i="8"/>
  <c r="X152" i="8" s="1"/>
  <c r="Y147" i="8"/>
  <c r="CG161" i="8"/>
  <c r="CG162" i="8" s="1"/>
  <c r="CH157" i="8"/>
  <c r="X169" i="8"/>
  <c r="X170" i="8" s="1"/>
  <c r="Y167" i="8"/>
  <c r="M173" i="8"/>
  <c r="M174" i="8" s="1"/>
  <c r="N171" i="8"/>
  <c r="DF101" i="8"/>
  <c r="DE105" i="8"/>
  <c r="DE106" i="8" s="1"/>
  <c r="DR119" i="8"/>
  <c r="DQ121" i="8"/>
  <c r="BU105" i="8"/>
  <c r="BU106" i="8" s="1"/>
  <c r="BV101" i="8"/>
  <c r="BV141" i="8"/>
  <c r="BU145" i="8"/>
  <c r="BU146" i="8" s="1"/>
  <c r="BT151" i="8"/>
  <c r="BT152" i="8" s="1"/>
  <c r="BU147" i="8"/>
  <c r="CR151" i="8"/>
  <c r="CR152" i="8" s="1"/>
  <c r="CS147" i="8"/>
  <c r="BH151" i="8"/>
  <c r="BH152" i="8" s="1"/>
  <c r="BI147" i="8"/>
  <c r="CT119" i="8"/>
  <c r="CS121" i="8"/>
  <c r="DG153" i="8"/>
  <c r="DF155" i="8"/>
  <c r="DF156" i="8" s="1"/>
  <c r="AA153" i="8"/>
  <c r="Z155" i="8"/>
  <c r="Z156" i="8" s="1"/>
  <c r="DQ129" i="8"/>
  <c r="DR127" i="8"/>
  <c r="CS171" i="8"/>
  <c r="CR173" i="8"/>
  <c r="CR174" i="8" s="1"/>
  <c r="BT131" i="8"/>
  <c r="BT132" i="8" s="1"/>
  <c r="DS153" i="8"/>
  <c r="DR155" i="8"/>
  <c r="DR156" i="8" s="1"/>
  <c r="CG125" i="8"/>
  <c r="CG126" i="8" s="1"/>
  <c r="DG163" i="8"/>
  <c r="DF165" i="8"/>
  <c r="DF166" i="8" s="1"/>
  <c r="Z119" i="8"/>
  <c r="Y121" i="8"/>
  <c r="L151" i="8"/>
  <c r="L152" i="8" s="1"/>
  <c r="M147" i="8"/>
  <c r="AX107" i="8"/>
  <c r="AW111" i="8"/>
  <c r="AW112" i="8" s="1"/>
  <c r="BJ141" i="8"/>
  <c r="BI145" i="8"/>
  <c r="BI146" i="8" s="1"/>
  <c r="CG169" i="8"/>
  <c r="CG170" i="8" s="1"/>
  <c r="CH167" i="8"/>
  <c r="CT163" i="8"/>
  <c r="CS165" i="8"/>
  <c r="CS166" i="8" s="1"/>
  <c r="BG131" i="8"/>
  <c r="BG132" i="8" s="1"/>
  <c r="CE131" i="8"/>
  <c r="CE132" i="8" s="1"/>
  <c r="CE175" i="8" s="1"/>
  <c r="DD173" i="8"/>
  <c r="DD174" i="8" s="1"/>
  <c r="DE171" i="8"/>
  <c r="BT169" i="8"/>
  <c r="BT170" i="8" s="1"/>
  <c r="BU167" i="8"/>
  <c r="L169" i="8"/>
  <c r="L170" i="8" s="1"/>
  <c r="M167" i="8"/>
  <c r="DQ173" i="8"/>
  <c r="DQ174" i="8" s="1"/>
  <c r="DR171" i="8"/>
  <c r="CF173" i="8"/>
  <c r="CF174" i="8" s="1"/>
  <c r="CG171" i="8"/>
  <c r="BH173" i="8"/>
  <c r="BH174" i="8" s="1"/>
  <c r="BI171" i="8"/>
  <c r="DD151" i="8"/>
  <c r="DD152" i="8" s="1"/>
  <c r="DE147" i="8"/>
  <c r="Z141" i="8"/>
  <c r="Y145" i="8"/>
  <c r="Y146" i="8" s="1"/>
  <c r="DP131" i="8"/>
  <c r="DP132" i="8" s="1"/>
  <c r="BT111" i="8"/>
  <c r="BT112" i="8" s="1"/>
  <c r="BU107" i="8"/>
  <c r="DP125" i="8"/>
  <c r="DP126" i="8" s="1"/>
  <c r="BK163" i="8"/>
  <c r="BJ165" i="8"/>
  <c r="BJ166" i="8" s="1"/>
  <c r="O163" i="8"/>
  <c r="N165" i="8"/>
  <c r="N166" i="8" s="1"/>
  <c r="AV151" i="8"/>
  <c r="AV152" i="8" s="1"/>
  <c r="AW147" i="8"/>
  <c r="CT113" i="8"/>
  <c r="CS117" i="8"/>
  <c r="CS118" i="8" s="1"/>
  <c r="AA163" i="8"/>
  <c r="Z165" i="8"/>
  <c r="Z166" i="8" s="1"/>
  <c r="Z101" i="8"/>
  <c r="Y105" i="8"/>
  <c r="Y106" i="8" s="1"/>
  <c r="BG175" i="8" l="1"/>
  <c r="AI175" i="8"/>
  <c r="CR175" i="8"/>
  <c r="BT175" i="8"/>
  <c r="AU175" i="8"/>
  <c r="M157" i="8"/>
  <c r="L161" i="8"/>
  <c r="L162" i="8" s="1"/>
  <c r="N117" i="8"/>
  <c r="N118" i="8" s="1"/>
  <c r="O113" i="8"/>
  <c r="DD169" i="8"/>
  <c r="DD170" i="8" s="1"/>
  <c r="DE167" i="8"/>
  <c r="AL119" i="8"/>
  <c r="AK121" i="8"/>
  <c r="AK125" i="8" s="1"/>
  <c r="AK126" i="8" s="1"/>
  <c r="N153" i="8"/>
  <c r="M155" i="8"/>
  <c r="M156" i="8" s="1"/>
  <c r="DQ163" i="8"/>
  <c r="DP165" i="8"/>
  <c r="DP166" i="8" s="1"/>
  <c r="DP175" i="8" s="1"/>
  <c r="DE127" i="8"/>
  <c r="DD129" i="8"/>
  <c r="DD131" i="8" s="1"/>
  <c r="DD132" i="8" s="1"/>
  <c r="DD125" i="8"/>
  <c r="DD126" i="8" s="1"/>
  <c r="DF119" i="8"/>
  <c r="DE121" i="8"/>
  <c r="DE125" i="8" s="1"/>
  <c r="DE126" i="8" s="1"/>
  <c r="DF117" i="8"/>
  <c r="DF118" i="8" s="1"/>
  <c r="DG113" i="8"/>
  <c r="CH117" i="8"/>
  <c r="CH118" i="8" s="1"/>
  <c r="CI113" i="8"/>
  <c r="CG155" i="8"/>
  <c r="CG156" i="8" s="1"/>
  <c r="CH153" i="8"/>
  <c r="BJ119" i="8"/>
  <c r="BI121" i="8"/>
  <c r="BI125" i="8" s="1"/>
  <c r="BI126" i="8" s="1"/>
  <c r="BK118" i="8"/>
  <c r="BI155" i="8"/>
  <c r="BI156" i="8" s="1"/>
  <c r="BJ153" i="8"/>
  <c r="AV121" i="8"/>
  <c r="AV125" i="8" s="1"/>
  <c r="AV126" i="8" s="1"/>
  <c r="AW119" i="8"/>
  <c r="AL153" i="8"/>
  <c r="AK155" i="8"/>
  <c r="AK156" i="8" s="1"/>
  <c r="AK157" i="8"/>
  <c r="AJ161" i="8"/>
  <c r="AJ162" i="8" s="1"/>
  <c r="AM118" i="8"/>
  <c r="AN164" i="8"/>
  <c r="AM165" i="8"/>
  <c r="AM166" i="8" s="1"/>
  <c r="AN163" i="8"/>
  <c r="AJ173" i="8"/>
  <c r="AJ174" i="8" s="1"/>
  <c r="AK171" i="8"/>
  <c r="Y171" i="8"/>
  <c r="X173" i="8"/>
  <c r="X174" i="8" s="1"/>
  <c r="BH169" i="8"/>
  <c r="BH170" i="8" s="1"/>
  <c r="BI167" i="8"/>
  <c r="DQ131" i="8"/>
  <c r="DQ132" i="8" s="1"/>
  <c r="BW141" i="8"/>
  <c r="BV145" i="8"/>
  <c r="BV146" i="8" s="1"/>
  <c r="BU131" i="8"/>
  <c r="BU132" i="8" s="1"/>
  <c r="AV131" i="8"/>
  <c r="AV132" i="8" s="1"/>
  <c r="BV121" i="8"/>
  <c r="BW119" i="8"/>
  <c r="CG151" i="8"/>
  <c r="CG152" i="8" s="1"/>
  <c r="CH147" i="8"/>
  <c r="AX117" i="8"/>
  <c r="AX118" i="8" s="1"/>
  <c r="AY113" i="8"/>
  <c r="Y129" i="8"/>
  <c r="Z127" i="8"/>
  <c r="CJ165" i="8"/>
  <c r="CJ166" i="8" s="1"/>
  <c r="CT117" i="8"/>
  <c r="CT118" i="8" s="1"/>
  <c r="CU113" i="8"/>
  <c r="AA141" i="8"/>
  <c r="Z145" i="8"/>
  <c r="Z146" i="8" s="1"/>
  <c r="BI173" i="8"/>
  <c r="BI174" i="8" s="1"/>
  <c r="BJ171" i="8"/>
  <c r="DR173" i="8"/>
  <c r="DR174" i="8" s="1"/>
  <c r="DS171" i="8"/>
  <c r="BU169" i="8"/>
  <c r="BU170" i="8" s="1"/>
  <c r="BV167" i="8"/>
  <c r="M151" i="8"/>
  <c r="M152" i="8" s="1"/>
  <c r="N147" i="8"/>
  <c r="Y125" i="8"/>
  <c r="Y126" i="8" s="1"/>
  <c r="DG165" i="8"/>
  <c r="DG166" i="8" s="1"/>
  <c r="DH164" i="8"/>
  <c r="DH163" i="8"/>
  <c r="DT154" i="8"/>
  <c r="DT153" i="8"/>
  <c r="DS155" i="8"/>
  <c r="DS156" i="8" s="1"/>
  <c r="CS125" i="8"/>
  <c r="CS126" i="8" s="1"/>
  <c r="BW101" i="8"/>
  <c r="BV105" i="8"/>
  <c r="BV106" i="8" s="1"/>
  <c r="DR121" i="8"/>
  <c r="DS119" i="8"/>
  <c r="AN117" i="8"/>
  <c r="AN118" i="8" s="1"/>
  <c r="O101" i="8"/>
  <c r="N105" i="8"/>
  <c r="N106" i="8" s="1"/>
  <c r="BK101" i="8"/>
  <c r="BJ105" i="8"/>
  <c r="BJ106" i="8" s="1"/>
  <c r="CU101" i="8"/>
  <c r="CT105" i="8"/>
  <c r="CT106" i="8" s="1"/>
  <c r="CT107" i="8"/>
  <c r="CS111" i="8"/>
  <c r="CS112" i="8" s="1"/>
  <c r="CH141" i="8"/>
  <c r="CG145" i="8"/>
  <c r="CG146" i="8" s="1"/>
  <c r="AM167" i="8"/>
  <c r="AL169" i="8"/>
  <c r="AL170" i="8" s="1"/>
  <c r="CF131" i="8"/>
  <c r="CF132" i="8" s="1"/>
  <c r="CF175" i="8" s="1"/>
  <c r="AK129" i="8"/>
  <c r="AL127" i="8"/>
  <c r="AY153" i="8"/>
  <c r="AX155" i="8"/>
  <c r="AX156" i="8" s="1"/>
  <c r="O107" i="8"/>
  <c r="N111" i="8"/>
  <c r="N112" i="8" s="1"/>
  <c r="DS157" i="8"/>
  <c r="DR161" i="8"/>
  <c r="DR162" i="8" s="1"/>
  <c r="DG141" i="8"/>
  <c r="DF145" i="8"/>
  <c r="DF146" i="8" s="1"/>
  <c r="DQ169" i="8"/>
  <c r="DQ170" i="8" s="1"/>
  <c r="DR167" i="8"/>
  <c r="DS101" i="8"/>
  <c r="DR105" i="8"/>
  <c r="DR106" i="8" s="1"/>
  <c r="AA161" i="8"/>
  <c r="AB158" i="8"/>
  <c r="AA159" i="8" s="1"/>
  <c r="AB157" i="8"/>
  <c r="X131" i="8"/>
  <c r="X132" i="8" s="1"/>
  <c r="X175" i="8" s="1"/>
  <c r="DE161" i="8"/>
  <c r="DE162" i="8" s="1"/>
  <c r="DF157" i="8"/>
  <c r="BL117" i="8"/>
  <c r="BL118" i="8" s="1"/>
  <c r="AY107" i="8"/>
  <c r="AX111" i="8"/>
  <c r="AX112" i="8" s="1"/>
  <c r="CS151" i="8"/>
  <c r="CS152" i="8" s="1"/>
  <c r="CT147" i="8"/>
  <c r="CG129" i="8"/>
  <c r="CH127" i="8"/>
  <c r="AA101" i="8"/>
  <c r="Z105" i="8"/>
  <c r="Z106" i="8" s="1"/>
  <c r="AA165" i="8"/>
  <c r="AA166" i="8" s="1"/>
  <c r="AB164" i="8"/>
  <c r="AB163" i="8"/>
  <c r="AX147" i="8"/>
  <c r="AW151" i="8"/>
  <c r="AW152" i="8" s="1"/>
  <c r="BK165" i="8"/>
  <c r="BK166" i="8" s="1"/>
  <c r="BL164" i="8"/>
  <c r="BL163" i="8"/>
  <c r="BV107" i="8"/>
  <c r="BU111" i="8"/>
  <c r="BU112" i="8" s="1"/>
  <c r="DE151" i="8"/>
  <c r="DE152" i="8" s="1"/>
  <c r="DF147" i="8"/>
  <c r="CG173" i="8"/>
  <c r="CG174" i="8" s="1"/>
  <c r="CH171" i="8"/>
  <c r="M169" i="8"/>
  <c r="M170" i="8" s="1"/>
  <c r="N167" i="8"/>
  <c r="CU163" i="8"/>
  <c r="CT165" i="8"/>
  <c r="CT166" i="8" s="1"/>
  <c r="Z121" i="8"/>
  <c r="AA119" i="8"/>
  <c r="CS173" i="8"/>
  <c r="CS174" i="8" s="1"/>
  <c r="CT171" i="8"/>
  <c r="DH153" i="8"/>
  <c r="DG155" i="8"/>
  <c r="DG156" i="8" s="1"/>
  <c r="DH154" i="8"/>
  <c r="CT121" i="8"/>
  <c r="CU119" i="8"/>
  <c r="CH161" i="8"/>
  <c r="CH162" i="8" s="1"/>
  <c r="CI157" i="8"/>
  <c r="CH107" i="8"/>
  <c r="CG111" i="8"/>
  <c r="CG112" i="8" s="1"/>
  <c r="BW161" i="8"/>
  <c r="BX157" i="8"/>
  <c r="BX158" i="8"/>
  <c r="BW159" i="8" s="1"/>
  <c r="DF107" i="8"/>
  <c r="DE111" i="8"/>
  <c r="DE112" i="8" s="1"/>
  <c r="BK107" i="8"/>
  <c r="BJ111" i="8"/>
  <c r="BJ112" i="8" s="1"/>
  <c r="CU141" i="8"/>
  <c r="CT145" i="8"/>
  <c r="CT146" i="8" s="1"/>
  <c r="Z117" i="8"/>
  <c r="Z118" i="8" s="1"/>
  <c r="AA113" i="8"/>
  <c r="BI129" i="8"/>
  <c r="BJ127" i="8"/>
  <c r="AJ131" i="8"/>
  <c r="AJ132" i="8" s="1"/>
  <c r="CJ119" i="8"/>
  <c r="CJ121" i="8" s="1"/>
  <c r="CI121" i="8"/>
  <c r="CJ122" i="8"/>
  <c r="CI123" i="8" s="1"/>
  <c r="AM107" i="8"/>
  <c r="AL111" i="8"/>
  <c r="AL112" i="8" s="1"/>
  <c r="O141" i="8"/>
  <c r="N145" i="8"/>
  <c r="N146" i="8" s="1"/>
  <c r="BV173" i="8"/>
  <c r="BV174" i="8" s="1"/>
  <c r="BW171" i="8"/>
  <c r="DR117" i="8"/>
  <c r="DR118" i="8" s="1"/>
  <c r="DS113" i="8"/>
  <c r="CH101" i="8"/>
  <c r="CG105" i="8"/>
  <c r="CG106" i="8" s="1"/>
  <c r="CU127" i="8"/>
  <c r="CT129" i="8"/>
  <c r="AZ165" i="8"/>
  <c r="AZ166" i="8" s="1"/>
  <c r="BK141" i="8"/>
  <c r="BJ145" i="8"/>
  <c r="BJ146" i="8" s="1"/>
  <c r="DQ125" i="8"/>
  <c r="DQ126" i="8" s="1"/>
  <c r="N173" i="8"/>
  <c r="N174" i="8" s="1"/>
  <c r="O171" i="8"/>
  <c r="CU157" i="8"/>
  <c r="CT161" i="8"/>
  <c r="CT162" i="8" s="1"/>
  <c r="CT167" i="8"/>
  <c r="CS169" i="8"/>
  <c r="CS170" i="8" s="1"/>
  <c r="AY101" i="8"/>
  <c r="AX105" i="8"/>
  <c r="AX106" i="8" s="1"/>
  <c r="BJ161" i="8"/>
  <c r="BJ162" i="8" s="1"/>
  <c r="BK157" i="8"/>
  <c r="AX167" i="8"/>
  <c r="AW169" i="8"/>
  <c r="AW170" i="8" s="1"/>
  <c r="DR107" i="8"/>
  <c r="DQ111" i="8"/>
  <c r="DQ112" i="8" s="1"/>
  <c r="O165" i="8"/>
  <c r="O166" i="8" s="1"/>
  <c r="P164" i="8"/>
  <c r="P163" i="8"/>
  <c r="DE173" i="8"/>
  <c r="DE174" i="8" s="1"/>
  <c r="DF171" i="8"/>
  <c r="CI167" i="8"/>
  <c r="CH169" i="8"/>
  <c r="CH170" i="8" s="1"/>
  <c r="DS127" i="8"/>
  <c r="DR129" i="8"/>
  <c r="AB154" i="8"/>
  <c r="AA155" i="8"/>
  <c r="AA156" i="8" s="1"/>
  <c r="AB153" i="8"/>
  <c r="BI151" i="8"/>
  <c r="BI152" i="8" s="1"/>
  <c r="BJ147" i="8"/>
  <c r="BU151" i="8"/>
  <c r="BU152" i="8" s="1"/>
  <c r="BV147" i="8"/>
  <c r="DG101" i="8"/>
  <c r="DF105" i="8"/>
  <c r="DF106" i="8" s="1"/>
  <c r="Y169" i="8"/>
  <c r="Y170" i="8" s="1"/>
  <c r="Z167" i="8"/>
  <c r="Y151" i="8"/>
  <c r="Y152" i="8" s="1"/>
  <c r="Z147" i="8"/>
  <c r="BW127" i="8"/>
  <c r="BV129" i="8"/>
  <c r="N127" i="8"/>
  <c r="AY141" i="8"/>
  <c r="AX145" i="8"/>
  <c r="AX146" i="8" s="1"/>
  <c r="CU153" i="8"/>
  <c r="CT155" i="8"/>
  <c r="CT156" i="8" s="1"/>
  <c r="AW173" i="8"/>
  <c r="AW174" i="8" s="1"/>
  <c r="AX171" i="8"/>
  <c r="AA107" i="8"/>
  <c r="Z111" i="8"/>
  <c r="Z112" i="8" s="1"/>
  <c r="P119" i="8"/>
  <c r="BW165" i="8"/>
  <c r="BW166" i="8" s="1"/>
  <c r="BX164" i="8"/>
  <c r="BX163" i="8"/>
  <c r="BH131" i="8"/>
  <c r="BH132" i="8" s="1"/>
  <c r="AK151" i="8"/>
  <c r="AK152" i="8" s="1"/>
  <c r="AL147" i="8"/>
  <c r="CH125" i="8"/>
  <c r="CH126" i="8" s="1"/>
  <c r="AW129" i="8"/>
  <c r="AX127" i="8"/>
  <c r="AL141" i="8"/>
  <c r="AK145" i="8"/>
  <c r="AK146" i="8" s="1"/>
  <c r="AY161" i="8"/>
  <c r="AZ157" i="8"/>
  <c r="AZ158" i="8"/>
  <c r="AY159" i="8" s="1"/>
  <c r="DQ151" i="8"/>
  <c r="DQ152" i="8" s="1"/>
  <c r="DR147" i="8"/>
  <c r="BU125" i="8"/>
  <c r="BU126" i="8" s="1"/>
  <c r="BV117" i="8"/>
  <c r="BV118" i="8" s="1"/>
  <c r="BW113" i="8"/>
  <c r="AL101" i="8"/>
  <c r="AK105" i="8"/>
  <c r="AK106" i="8" s="1"/>
  <c r="CS131" i="8"/>
  <c r="CS132" i="8" s="1"/>
  <c r="DS141" i="8"/>
  <c r="DR145" i="8"/>
  <c r="DR146" i="8" s="1"/>
  <c r="BX154" i="8"/>
  <c r="BW155" i="8"/>
  <c r="BW156" i="8" s="1"/>
  <c r="BX153" i="8"/>
  <c r="AJ175" i="8" l="1"/>
  <c r="BH175" i="8"/>
  <c r="DD175" i="8"/>
  <c r="AV175" i="8"/>
  <c r="BU175" i="8"/>
  <c r="CS175" i="8"/>
  <c r="N157" i="8"/>
  <c r="M161" i="8"/>
  <c r="M162" i="8" s="1"/>
  <c r="DE169" i="8"/>
  <c r="DE170" i="8" s="1"/>
  <c r="DF167" i="8"/>
  <c r="P113" i="8"/>
  <c r="P117" i="8" s="1"/>
  <c r="P114" i="8"/>
  <c r="O115" i="8" s="1"/>
  <c r="O117" i="8"/>
  <c r="AL121" i="8"/>
  <c r="AL125" i="8" s="1"/>
  <c r="AL126" i="8" s="1"/>
  <c r="AM119" i="8"/>
  <c r="AA162" i="8"/>
  <c r="O153" i="8"/>
  <c r="N155" i="8"/>
  <c r="N156" i="8" s="1"/>
  <c r="DR163" i="8"/>
  <c r="DQ165" i="8"/>
  <c r="DQ166" i="8" s="1"/>
  <c r="DQ175" i="8" s="1"/>
  <c r="DH113" i="8"/>
  <c r="DG117" i="8"/>
  <c r="DH114" i="8"/>
  <c r="DG115" i="8" s="1"/>
  <c r="DG119" i="8"/>
  <c r="DF121" i="8"/>
  <c r="DF125" i="8" s="1"/>
  <c r="DF126" i="8" s="1"/>
  <c r="DE129" i="8"/>
  <c r="DE131" i="8" s="1"/>
  <c r="DE132" i="8" s="1"/>
  <c r="DE175" i="8" s="1"/>
  <c r="DF127" i="8"/>
  <c r="CI153" i="8"/>
  <c r="CH155" i="8"/>
  <c r="CH156" i="8" s="1"/>
  <c r="CJ113" i="8"/>
  <c r="CJ117" i="8" s="1"/>
  <c r="CJ114" i="8"/>
  <c r="CI115" i="8" s="1"/>
  <c r="CI117" i="8"/>
  <c r="BW162" i="8"/>
  <c r="BK153" i="8"/>
  <c r="BJ155" i="8"/>
  <c r="BJ156" i="8" s="1"/>
  <c r="BK119" i="8"/>
  <c r="BJ121" i="8"/>
  <c r="BJ125" i="8" s="1"/>
  <c r="BJ126" i="8" s="1"/>
  <c r="AY162" i="8"/>
  <c r="AX119" i="8"/>
  <c r="AW121" i="8"/>
  <c r="AW125" i="8" s="1"/>
  <c r="AW126" i="8" s="1"/>
  <c r="AL171" i="8"/>
  <c r="AK173" i="8"/>
  <c r="AK174" i="8" s="1"/>
  <c r="AN165" i="8"/>
  <c r="AN166" i="8" s="1"/>
  <c r="AL155" i="8"/>
  <c r="AL156" i="8" s="1"/>
  <c r="AM153" i="8"/>
  <c r="AL157" i="8"/>
  <c r="AK161" i="8"/>
  <c r="AK162" i="8" s="1"/>
  <c r="Z171" i="8"/>
  <c r="Y173" i="8"/>
  <c r="Y174" i="8" s="1"/>
  <c r="BI169" i="8"/>
  <c r="BI170" i="8" s="1"/>
  <c r="BJ167" i="8"/>
  <c r="AB108" i="8"/>
  <c r="AA109" i="8" s="1"/>
  <c r="AB107" i="8"/>
  <c r="AA111" i="8"/>
  <c r="DR131" i="8"/>
  <c r="DR132" i="8" s="1"/>
  <c r="P165" i="8"/>
  <c r="P166" i="8" s="1"/>
  <c r="CU167" i="8"/>
  <c r="CT169" i="8"/>
  <c r="CT170" i="8" s="1"/>
  <c r="AB114" i="8"/>
  <c r="AA115" i="8" s="1"/>
  <c r="AB113" i="8"/>
  <c r="AA117" i="8"/>
  <c r="CI161" i="8"/>
  <c r="CJ158" i="8"/>
  <c r="CI159" i="8" s="1"/>
  <c r="CJ157" i="8"/>
  <c r="AY147" i="8"/>
  <c r="AX151" i="8"/>
  <c r="AX152" i="8" s="1"/>
  <c r="CI127" i="8"/>
  <c r="CH129" i="8"/>
  <c r="DG157" i="8"/>
  <c r="DF161" i="8"/>
  <c r="DF162" i="8" s="1"/>
  <c r="DH165" i="8"/>
  <c r="DH166" i="8" s="1"/>
  <c r="AA127" i="8"/>
  <c r="Z129" i="8"/>
  <c r="BX122" i="8"/>
  <c r="BW123" i="8" s="1"/>
  <c r="BX119" i="8"/>
  <c r="BX121" i="8" s="1"/>
  <c r="BW121" i="8"/>
  <c r="O127" i="8"/>
  <c r="DT114" i="8"/>
  <c r="DS115" i="8" s="1"/>
  <c r="DT113" i="8"/>
  <c r="DS117" i="8"/>
  <c r="AM101" i="8"/>
  <c r="AL105" i="8"/>
  <c r="AL106" i="8" s="1"/>
  <c r="DS147" i="8"/>
  <c r="DR151" i="8"/>
  <c r="DR152" i="8" s="1"/>
  <c r="AZ161" i="8"/>
  <c r="AZ162" i="8" s="1"/>
  <c r="AY127" i="8"/>
  <c r="AX129" i="8"/>
  <c r="AM147" i="8"/>
  <c r="AL151" i="8"/>
  <c r="AL152" i="8" s="1"/>
  <c r="DG105" i="8"/>
  <c r="DH102" i="8"/>
  <c r="DG103" i="8" s="1"/>
  <c r="DH101" i="8"/>
  <c r="BJ151" i="8"/>
  <c r="BJ152" i="8" s="1"/>
  <c r="BK147" i="8"/>
  <c r="DT130" i="8"/>
  <c r="DT127" i="8"/>
  <c r="DT129" i="8" s="1"/>
  <c r="DS129" i="8"/>
  <c r="DF173" i="8"/>
  <c r="DF174" i="8" s="1"/>
  <c r="DG171" i="8"/>
  <c r="AY167" i="8"/>
  <c r="AX169" i="8"/>
  <c r="AX170" i="8" s="1"/>
  <c r="CU161" i="8"/>
  <c r="CV158" i="8"/>
  <c r="CU159" i="8" s="1"/>
  <c r="CV157" i="8"/>
  <c r="BX161" i="8"/>
  <c r="BX162" i="8" s="1"/>
  <c r="CT125" i="8"/>
  <c r="CT126" i="8" s="1"/>
  <c r="DH155" i="8"/>
  <c r="DH156" i="8" s="1"/>
  <c r="Z125" i="8"/>
  <c r="Z126" i="8" s="1"/>
  <c r="DF151" i="8"/>
  <c r="DF152" i="8" s="1"/>
  <c r="DG147" i="8"/>
  <c r="BW107" i="8"/>
  <c r="BV111" i="8"/>
  <c r="BV112" i="8" s="1"/>
  <c r="AA105" i="8"/>
  <c r="AB102" i="8"/>
  <c r="AA103" i="8" s="1"/>
  <c r="AA106" i="8" s="1"/>
  <c r="AB101" i="8"/>
  <c r="CG131" i="8"/>
  <c r="CG132" i="8" s="1"/>
  <c r="CG175" i="8" s="1"/>
  <c r="CU147" i="8"/>
  <c r="CT151" i="8"/>
  <c r="CT152" i="8" s="1"/>
  <c r="AB161" i="8"/>
  <c r="AB162" i="8" s="1"/>
  <c r="AM169" i="8"/>
  <c r="AM170" i="8" s="1"/>
  <c r="AN168" i="8"/>
  <c r="AN167" i="8"/>
  <c r="CU105" i="8"/>
  <c r="CV102" i="8"/>
  <c r="CU103" i="8" s="1"/>
  <c r="CV101" i="8"/>
  <c r="BK105" i="8"/>
  <c r="BL102" i="8"/>
  <c r="BK103" i="8" s="1"/>
  <c r="BL101" i="8"/>
  <c r="BW105" i="8"/>
  <c r="BX102" i="8"/>
  <c r="BW103" i="8" s="1"/>
  <c r="BW106" i="8" s="1"/>
  <c r="BX101" i="8"/>
  <c r="BJ173" i="8"/>
  <c r="BJ174" i="8" s="1"/>
  <c r="BK171" i="8"/>
  <c r="Y131" i="8"/>
  <c r="Y132" i="8" s="1"/>
  <c r="Y175" i="8" s="1"/>
  <c r="CH151" i="8"/>
  <c r="CH152" i="8" s="1"/>
  <c r="CI147" i="8"/>
  <c r="BV125" i="8"/>
  <c r="BV126" i="8" s="1"/>
  <c r="DT142" i="8"/>
  <c r="DS143" i="8" s="1"/>
  <c r="DT141" i="8"/>
  <c r="DS145" i="8"/>
  <c r="AM141" i="8"/>
  <c r="AL145" i="8"/>
  <c r="AL146" i="8" s="1"/>
  <c r="AA167" i="8"/>
  <c r="Z169" i="8"/>
  <c r="Z170" i="8" s="1"/>
  <c r="BL141" i="8"/>
  <c r="BK145" i="8"/>
  <c r="BL142" i="8"/>
  <c r="BK143" i="8" s="1"/>
  <c r="CV130" i="8"/>
  <c r="CV127" i="8"/>
  <c r="CV129" i="8" s="1"/>
  <c r="CU129" i="8"/>
  <c r="BX172" i="8"/>
  <c r="BX171" i="8"/>
  <c r="BW173" i="8"/>
  <c r="BW174" i="8" s="1"/>
  <c r="CU165" i="8"/>
  <c r="CU166" i="8" s="1"/>
  <c r="CV163" i="8"/>
  <c r="CV164" i="8"/>
  <c r="BX155" i="8"/>
  <c r="BX156" i="8" s="1"/>
  <c r="AW131" i="8"/>
  <c r="AW132" i="8" s="1"/>
  <c r="BX165" i="8"/>
  <c r="BX166" i="8" s="1"/>
  <c r="AX173" i="8"/>
  <c r="AX174" i="8" s="1"/>
  <c r="AY171" i="8"/>
  <c r="AZ142" i="8"/>
  <c r="AY143" i="8" s="1"/>
  <c r="AZ141" i="8"/>
  <c r="AY145" i="8"/>
  <c r="BV131" i="8"/>
  <c r="BV132" i="8" s="1"/>
  <c r="BV151" i="8"/>
  <c r="BV152" i="8" s="1"/>
  <c r="BW147" i="8"/>
  <c r="DS107" i="8"/>
  <c r="DR111" i="8"/>
  <c r="DR112" i="8" s="1"/>
  <c r="AY105" i="8"/>
  <c r="AZ102" i="8"/>
  <c r="AY103" i="8" s="1"/>
  <c r="AZ101" i="8"/>
  <c r="P171" i="8"/>
  <c r="O173" i="8"/>
  <c r="O174" i="8" s="1"/>
  <c r="P172" i="8"/>
  <c r="P141" i="8"/>
  <c r="O145" i="8"/>
  <c r="P142" i="8"/>
  <c r="O143" i="8" s="1"/>
  <c r="CI125" i="8"/>
  <c r="CI126" i="8" s="1"/>
  <c r="BK127" i="8"/>
  <c r="BJ129" i="8"/>
  <c r="CV142" i="8"/>
  <c r="CU143" i="8" s="1"/>
  <c r="CV141" i="8"/>
  <c r="CU145" i="8"/>
  <c r="DG107" i="8"/>
  <c r="DF111" i="8"/>
  <c r="DF112" i="8" s="1"/>
  <c r="CI107" i="8"/>
  <c r="CH111" i="8"/>
  <c r="CH112" i="8" s="1"/>
  <c r="CT173" i="8"/>
  <c r="CT174" i="8" s="1"/>
  <c r="CU171" i="8"/>
  <c r="CH173" i="8"/>
  <c r="CH174" i="8" s="1"/>
  <c r="CI171" i="8"/>
  <c r="AB165" i="8"/>
  <c r="AB166" i="8" s="1"/>
  <c r="AZ108" i="8"/>
  <c r="AY109" i="8" s="1"/>
  <c r="AZ107" i="8"/>
  <c r="AY111" i="8"/>
  <c r="DS167" i="8"/>
  <c r="DR169" i="8"/>
  <c r="DR170" i="8" s="1"/>
  <c r="AZ154" i="8"/>
  <c r="AY155" i="8"/>
  <c r="AY156" i="8" s="1"/>
  <c r="AZ153" i="8"/>
  <c r="CI141" i="8"/>
  <c r="CH145" i="8"/>
  <c r="CH146" i="8" s="1"/>
  <c r="DT122" i="8"/>
  <c r="DS123" i="8" s="1"/>
  <c r="DT119" i="8"/>
  <c r="DT121" i="8" s="1"/>
  <c r="DS121" i="8"/>
  <c r="DT155" i="8"/>
  <c r="DT156" i="8" s="1"/>
  <c r="N151" i="8"/>
  <c r="N152" i="8" s="1"/>
  <c r="O147" i="8"/>
  <c r="BW167" i="8"/>
  <c r="BV169" i="8"/>
  <c r="BV170" i="8" s="1"/>
  <c r="DT172" i="8"/>
  <c r="DT171" i="8"/>
  <c r="DS173" i="8"/>
  <c r="DS174" i="8" s="1"/>
  <c r="AB142" i="8"/>
  <c r="AA143" i="8" s="1"/>
  <c r="AB141" i="8"/>
  <c r="AA145" i="8"/>
  <c r="CV114" i="8"/>
  <c r="CU115" i="8" s="1"/>
  <c r="CV113" i="8"/>
  <c r="CU117" i="8"/>
  <c r="AZ114" i="8"/>
  <c r="AY115" i="8" s="1"/>
  <c r="AZ113" i="8"/>
  <c r="AY117" i="8"/>
  <c r="Z151" i="8"/>
  <c r="Z152" i="8" s="1"/>
  <c r="AA147" i="8"/>
  <c r="AB155" i="8"/>
  <c r="AB156" i="8" s="1"/>
  <c r="CI169" i="8"/>
  <c r="CI170" i="8" s="1"/>
  <c r="CJ168" i="8"/>
  <c r="CJ167" i="8"/>
  <c r="CV122" i="8"/>
  <c r="CU123" i="8" s="1"/>
  <c r="CV119" i="8"/>
  <c r="CV121" i="8" s="1"/>
  <c r="CU121" i="8"/>
  <c r="AB122" i="8"/>
  <c r="AA123" i="8" s="1"/>
  <c r="AB119" i="8"/>
  <c r="AB121" i="8" s="1"/>
  <c r="AA121" i="8"/>
  <c r="DS105" i="8"/>
  <c r="DT102" i="8"/>
  <c r="DS103" i="8" s="1"/>
  <c r="DT101" i="8"/>
  <c r="AK131" i="8"/>
  <c r="AK132" i="8" s="1"/>
  <c r="AK175" i="8" s="1"/>
  <c r="CU107" i="8"/>
  <c r="CT111" i="8"/>
  <c r="CT112" i="8" s="1"/>
  <c r="BX114" i="8"/>
  <c r="BW115" i="8" s="1"/>
  <c r="BX113" i="8"/>
  <c r="BW117" i="8"/>
  <c r="CV154" i="8"/>
  <c r="CV153" i="8"/>
  <c r="CU155" i="8"/>
  <c r="CU156" i="8" s="1"/>
  <c r="BX130" i="8"/>
  <c r="BX127" i="8"/>
  <c r="BX129" i="8" s="1"/>
  <c r="BW129" i="8"/>
  <c r="BK161" i="8"/>
  <c r="BL158" i="8"/>
  <c r="BK159" i="8" s="1"/>
  <c r="BL157" i="8"/>
  <c r="CT131" i="8"/>
  <c r="CT132" i="8" s="1"/>
  <c r="CI101" i="8"/>
  <c r="CH105" i="8"/>
  <c r="CH106" i="8" s="1"/>
  <c r="AN107" i="8"/>
  <c r="AM111" i="8"/>
  <c r="AN108" i="8"/>
  <c r="AM109" i="8" s="1"/>
  <c r="CJ125" i="8"/>
  <c r="CJ126" i="8" s="1"/>
  <c r="BI131" i="8"/>
  <c r="BI132" i="8" s="1"/>
  <c r="BI175" i="8" s="1"/>
  <c r="BL107" i="8"/>
  <c r="BK111" i="8"/>
  <c r="BL108" i="8"/>
  <c r="BK109" i="8" s="1"/>
  <c r="O167" i="8"/>
  <c r="N169" i="8"/>
  <c r="N170" i="8" s="1"/>
  <c r="BL165" i="8"/>
  <c r="BL166" i="8" s="1"/>
  <c r="DH141" i="8"/>
  <c r="DG145" i="8"/>
  <c r="DH142" i="8"/>
  <c r="DG143" i="8" s="1"/>
  <c r="DS161" i="8"/>
  <c r="DT157" i="8"/>
  <c r="DT158" i="8"/>
  <c r="DS159" i="8" s="1"/>
  <c r="P107" i="8"/>
  <c r="O111" i="8"/>
  <c r="P108" i="8"/>
  <c r="O109" i="8" s="1"/>
  <c r="AL129" i="8"/>
  <c r="AM127" i="8"/>
  <c r="O105" i="8"/>
  <c r="P102" i="8"/>
  <c r="O103" i="8" s="1"/>
  <c r="P101" i="8"/>
  <c r="DR125" i="8"/>
  <c r="DR126" i="8" s="1"/>
  <c r="BX142" i="8"/>
  <c r="BW143" i="8" s="1"/>
  <c r="BX141" i="8"/>
  <c r="BW145" i="8"/>
  <c r="CT175" i="8" l="1"/>
  <c r="BV175" i="8"/>
  <c r="AW175" i="8"/>
  <c r="CJ118" i="8"/>
  <c r="DG106" i="8"/>
  <c r="N161" i="8"/>
  <c r="N162" i="8" s="1"/>
  <c r="O157" i="8"/>
  <c r="O118" i="8"/>
  <c r="DG146" i="8"/>
  <c r="O112" i="8"/>
  <c r="CU106" i="8"/>
  <c r="O146" i="8"/>
  <c r="AY106" i="8"/>
  <c r="AN122" i="8"/>
  <c r="AM123" i="8" s="1"/>
  <c r="AN119" i="8"/>
  <c r="AN121" i="8" s="1"/>
  <c r="AN125" i="8" s="1"/>
  <c r="AM121" i="8"/>
  <c r="AM125" i="8" s="1"/>
  <c r="P118" i="8"/>
  <c r="DF169" i="8"/>
  <c r="DF170" i="8" s="1"/>
  <c r="DG167" i="8"/>
  <c r="BK162" i="8"/>
  <c r="CU118" i="8"/>
  <c r="CU146" i="8"/>
  <c r="AY112" i="8"/>
  <c r="AM112" i="8"/>
  <c r="DS146" i="8"/>
  <c r="DS118" i="8"/>
  <c r="CU162" i="8"/>
  <c r="AA112" i="8"/>
  <c r="AY118" i="8"/>
  <c r="AA146" i="8"/>
  <c r="AA118" i="8"/>
  <c r="DG118" i="8"/>
  <c r="O106" i="8"/>
  <c r="BK112" i="8"/>
  <c r="P153" i="8"/>
  <c r="P154" i="8"/>
  <c r="O155" i="8"/>
  <c r="O156" i="8" s="1"/>
  <c r="DS162" i="8"/>
  <c r="DS106" i="8"/>
  <c r="DS163" i="8"/>
  <c r="DR165" i="8"/>
  <c r="DR166" i="8" s="1"/>
  <c r="DR175" i="8" s="1"/>
  <c r="DH122" i="8"/>
  <c r="DG123" i="8" s="1"/>
  <c r="DH119" i="8"/>
  <c r="DH121" i="8" s="1"/>
  <c r="DH125" i="8" s="1"/>
  <c r="DG121" i="8"/>
  <c r="DG125" i="8" s="1"/>
  <c r="DG127" i="8"/>
  <c r="DF129" i="8"/>
  <c r="DF131" i="8" s="1"/>
  <c r="DF132" i="8" s="1"/>
  <c r="DF175" i="8" s="1"/>
  <c r="DH117" i="8"/>
  <c r="DH118" i="8" s="1"/>
  <c r="CI162" i="8"/>
  <c r="CI118" i="8"/>
  <c r="CI155" i="8"/>
  <c r="CI156" i="8" s="1"/>
  <c r="CJ153" i="8"/>
  <c r="CJ155" i="8" s="1"/>
  <c r="CJ154" i="8"/>
  <c r="BW146" i="8"/>
  <c r="BW118" i="8"/>
  <c r="BK121" i="8"/>
  <c r="BK125" i="8" s="1"/>
  <c r="BL119" i="8"/>
  <c r="BL121" i="8" s="1"/>
  <c r="BL125" i="8" s="1"/>
  <c r="BL122" i="8"/>
  <c r="BK123" i="8" s="1"/>
  <c r="BK146" i="8"/>
  <c r="BK106" i="8"/>
  <c r="BL154" i="8"/>
  <c r="BK155" i="8"/>
  <c r="BK156" i="8" s="1"/>
  <c r="BL153" i="8"/>
  <c r="AY146" i="8"/>
  <c r="AY119" i="8"/>
  <c r="AX121" i="8"/>
  <c r="AX125" i="8" s="1"/>
  <c r="AX126" i="8" s="1"/>
  <c r="AN154" i="8"/>
  <c r="AN153" i="8"/>
  <c r="AM155" i="8"/>
  <c r="AM156" i="8" s="1"/>
  <c r="AL161" i="8"/>
  <c r="AL162" i="8" s="1"/>
  <c r="AM157" i="8"/>
  <c r="AM171" i="8"/>
  <c r="AL173" i="8"/>
  <c r="AL174" i="8" s="1"/>
  <c r="AA171" i="8"/>
  <c r="Z173" i="8"/>
  <c r="Z174" i="8" s="1"/>
  <c r="BK167" i="8"/>
  <c r="BJ169" i="8"/>
  <c r="BJ170" i="8" s="1"/>
  <c r="BL161" i="8"/>
  <c r="BL162" i="8" s="1"/>
  <c r="AZ155" i="8"/>
  <c r="AZ156" i="8" s="1"/>
  <c r="BL127" i="8"/>
  <c r="BL129" i="8" s="1"/>
  <c r="BK129" i="8"/>
  <c r="BL130" i="8"/>
  <c r="P145" i="8"/>
  <c r="P146" i="8" s="1"/>
  <c r="DT108" i="8"/>
  <c r="DS109" i="8" s="1"/>
  <c r="DT107" i="8"/>
  <c r="DS111" i="8"/>
  <c r="AN141" i="8"/>
  <c r="AM145" i="8"/>
  <c r="AN142" i="8"/>
  <c r="AM143" i="8" s="1"/>
  <c r="BL105" i="8"/>
  <c r="BL106" i="8" s="1"/>
  <c r="CU151" i="8"/>
  <c r="CV148" i="8"/>
  <c r="CU149" i="8" s="1"/>
  <c r="CV147" i="8"/>
  <c r="DG161" i="8"/>
  <c r="DH157" i="8"/>
  <c r="DH158" i="8"/>
  <c r="DG159" i="8" s="1"/>
  <c r="DT161" i="8"/>
  <c r="DT162" i="8" s="1"/>
  <c r="O169" i="8"/>
  <c r="O170" i="8" s="1"/>
  <c r="P167" i="8"/>
  <c r="P168" i="8"/>
  <c r="BL111" i="8"/>
  <c r="BL112" i="8" s="1"/>
  <c r="AN111" i="8"/>
  <c r="AN112" i="8" s="1"/>
  <c r="CI105" i="8"/>
  <c r="CJ102" i="8"/>
  <c r="CI103" i="8" s="1"/>
  <c r="CJ101" i="8"/>
  <c r="AA125" i="8"/>
  <c r="AA126" i="8" s="1"/>
  <c r="CU125" i="8"/>
  <c r="CU126" i="8" s="1"/>
  <c r="CJ169" i="8"/>
  <c r="CJ170" i="8" s="1"/>
  <c r="AZ117" i="8"/>
  <c r="AZ118" i="8" s="1"/>
  <c r="CV117" i="8"/>
  <c r="CV118" i="8" s="1"/>
  <c r="AB145" i="8"/>
  <c r="AB146" i="8" s="1"/>
  <c r="DT173" i="8"/>
  <c r="DT174" i="8" s="1"/>
  <c r="BW169" i="8"/>
  <c r="BW170" i="8" s="1"/>
  <c r="BX167" i="8"/>
  <c r="BX168" i="8"/>
  <c r="DT125" i="8"/>
  <c r="DT126" i="8" s="1"/>
  <c r="AZ111" i="8"/>
  <c r="AZ112" i="8" s="1"/>
  <c r="CJ171" i="8"/>
  <c r="CJ172" i="8"/>
  <c r="CI173" i="8"/>
  <c r="CI174" i="8" s="1"/>
  <c r="CJ107" i="8"/>
  <c r="CI111" i="8"/>
  <c r="CJ108" i="8"/>
  <c r="CI109" i="8" s="1"/>
  <c r="DH107" i="8"/>
  <c r="DG111" i="8"/>
  <c r="DH108" i="8"/>
  <c r="DG109" i="8" s="1"/>
  <c r="CV145" i="8"/>
  <c r="CV146" i="8" s="1"/>
  <c r="AZ172" i="8"/>
  <c r="AZ171" i="8"/>
  <c r="AY173" i="8"/>
  <c r="AY174" i="8" s="1"/>
  <c r="CU131" i="8"/>
  <c r="CU132" i="8" s="1"/>
  <c r="BL171" i="8"/>
  <c r="BK173" i="8"/>
  <c r="BK174" i="8" s="1"/>
  <c r="BL172" i="8"/>
  <c r="BX108" i="8"/>
  <c r="BW109" i="8" s="1"/>
  <c r="BX107" i="8"/>
  <c r="BW111" i="8"/>
  <c r="DG151" i="8"/>
  <c r="DH147" i="8"/>
  <c r="DH148" i="8"/>
  <c r="DG149" i="8" s="1"/>
  <c r="DH105" i="8"/>
  <c r="DH106" i="8" s="1"/>
  <c r="AX131" i="8"/>
  <c r="AX132" i="8" s="1"/>
  <c r="BX125" i="8"/>
  <c r="BX126" i="8" s="1"/>
  <c r="AB130" i="8"/>
  <c r="AA129" i="8"/>
  <c r="AB127" i="8"/>
  <c r="AB129" i="8" s="1"/>
  <c r="CH131" i="8"/>
  <c r="CH132" i="8" s="1"/>
  <c r="CH175" i="8" s="1"/>
  <c r="AY151" i="8"/>
  <c r="AZ148" i="8"/>
  <c r="AY149" i="8" s="1"/>
  <c r="AZ147" i="8"/>
  <c r="AB117" i="8"/>
  <c r="AB118" i="8" s="1"/>
  <c r="CU169" i="8"/>
  <c r="CU170" i="8" s="1"/>
  <c r="CV168" i="8"/>
  <c r="CV167" i="8"/>
  <c r="AB111" i="8"/>
  <c r="AB112" i="8" s="1"/>
  <c r="AA151" i="8"/>
  <c r="AB148" i="8"/>
  <c r="AA149" i="8" s="1"/>
  <c r="AB147" i="8"/>
  <c r="CV105" i="8"/>
  <c r="CV106" i="8" s="1"/>
  <c r="CV161" i="8"/>
  <c r="CV162" i="8" s="1"/>
  <c r="AM105" i="8"/>
  <c r="AN102" i="8"/>
  <c r="AM103" i="8" s="1"/>
  <c r="AN101" i="8"/>
  <c r="Z131" i="8"/>
  <c r="Z132" i="8" s="1"/>
  <c r="Z175" i="8" s="1"/>
  <c r="BX145" i="8"/>
  <c r="BX146" i="8" s="1"/>
  <c r="P105" i="8"/>
  <c r="P106" i="8" s="1"/>
  <c r="AM129" i="8"/>
  <c r="AN130" i="8"/>
  <c r="AN127" i="8"/>
  <c r="AN129" i="8" s="1"/>
  <c r="BW131" i="8"/>
  <c r="BW132" i="8" s="1"/>
  <c r="AB125" i="8"/>
  <c r="AB126" i="8" s="1"/>
  <c r="CV125" i="8"/>
  <c r="CV126" i="8" s="1"/>
  <c r="DS169" i="8"/>
  <c r="DS170" i="8" s="1"/>
  <c r="DT168" i="8"/>
  <c r="DT167" i="8"/>
  <c r="P173" i="8"/>
  <c r="P174" i="8" s="1"/>
  <c r="BW151" i="8"/>
  <c r="BX148" i="8"/>
  <c r="BW149" i="8" s="1"/>
  <c r="BX147" i="8"/>
  <c r="CV165" i="8"/>
  <c r="CV166" i="8" s="1"/>
  <c r="CV131" i="8"/>
  <c r="CV132" i="8" s="1"/>
  <c r="AA169" i="8"/>
  <c r="AA170" i="8" s="1"/>
  <c r="AB168" i="8"/>
  <c r="AB167" i="8"/>
  <c r="AY169" i="8"/>
  <c r="AY170" i="8" s="1"/>
  <c r="AZ168" i="8"/>
  <c r="AZ167" i="8"/>
  <c r="DS131" i="8"/>
  <c r="DS132" i="8" s="1"/>
  <c r="BK151" i="8"/>
  <c r="BL147" i="8"/>
  <c r="BL148" i="8"/>
  <c r="BK149" i="8" s="1"/>
  <c r="AZ130" i="8"/>
  <c r="AY129" i="8"/>
  <c r="AZ127" i="8"/>
  <c r="AZ129" i="8" s="1"/>
  <c r="CJ127" i="8"/>
  <c r="CJ129" i="8" s="1"/>
  <c r="CI129" i="8"/>
  <c r="CJ130" i="8"/>
  <c r="DT105" i="8"/>
  <c r="DT106" i="8" s="1"/>
  <c r="DS125" i="8"/>
  <c r="DS126" i="8" s="1"/>
  <c r="CV172" i="8"/>
  <c r="CV171" i="8"/>
  <c r="CU173" i="8"/>
  <c r="CU174" i="8" s="1"/>
  <c r="CI151" i="8"/>
  <c r="CJ147" i="8"/>
  <c r="CJ148" i="8"/>
  <c r="CI149" i="8" s="1"/>
  <c r="BX105" i="8"/>
  <c r="BX106" i="8" s="1"/>
  <c r="AN169" i="8"/>
  <c r="AN170" i="8" s="1"/>
  <c r="AB105" i="8"/>
  <c r="AB106" i="8" s="1"/>
  <c r="DT117" i="8"/>
  <c r="DT118" i="8" s="1"/>
  <c r="BW125" i="8"/>
  <c r="BW126" i="8" s="1"/>
  <c r="AL131" i="8"/>
  <c r="AL132" i="8" s="1"/>
  <c r="P111" i="8"/>
  <c r="P112" i="8" s="1"/>
  <c r="DH145" i="8"/>
  <c r="DH146" i="8" s="1"/>
  <c r="BX131" i="8"/>
  <c r="BX132" i="8" s="1"/>
  <c r="CV155" i="8"/>
  <c r="CV156" i="8" s="1"/>
  <c r="BX117" i="8"/>
  <c r="BX118" i="8" s="1"/>
  <c r="CV108" i="8"/>
  <c r="CU109" i="8" s="1"/>
  <c r="CV107" i="8"/>
  <c r="CU111" i="8"/>
  <c r="O151" i="8"/>
  <c r="P147" i="8"/>
  <c r="P148" i="8"/>
  <c r="O149" i="8" s="1"/>
  <c r="CJ141" i="8"/>
  <c r="CI145" i="8"/>
  <c r="CJ142" i="8"/>
  <c r="CI143" i="8" s="1"/>
  <c r="BJ131" i="8"/>
  <c r="BJ132" i="8" s="1"/>
  <c r="AZ105" i="8"/>
  <c r="AZ106" i="8" s="1"/>
  <c r="AZ145" i="8"/>
  <c r="AZ146" i="8" s="1"/>
  <c r="BX173" i="8"/>
  <c r="BX174" i="8" s="1"/>
  <c r="BL145" i="8"/>
  <c r="BL146" i="8" s="1"/>
  <c r="DT145" i="8"/>
  <c r="DT146" i="8" s="1"/>
  <c r="DH171" i="8"/>
  <c r="DG173" i="8"/>
  <c r="DG174" i="8" s="1"/>
  <c r="DH172" i="8"/>
  <c r="DT131" i="8"/>
  <c r="DT132" i="8" s="1"/>
  <c r="AM151" i="8"/>
  <c r="AN147" i="8"/>
  <c r="AN148" i="8"/>
  <c r="AM149" i="8" s="1"/>
  <c r="DS151" i="8"/>
  <c r="DT148" i="8"/>
  <c r="DS149" i="8" s="1"/>
  <c r="DT147" i="8"/>
  <c r="P127" i="8"/>
  <c r="CJ161" i="8"/>
  <c r="CJ162" i="8" s="1"/>
  <c r="AL175" i="8" l="1"/>
  <c r="BJ175" i="8"/>
  <c r="AX175" i="8"/>
  <c r="P158" i="8"/>
  <c r="O159" i="8" s="1"/>
  <c r="O161" i="8"/>
  <c r="P157" i="8"/>
  <c r="P161" i="8" s="1"/>
  <c r="DG162" i="8"/>
  <c r="AM126" i="8"/>
  <c r="DG169" i="8"/>
  <c r="DG170" i="8" s="1"/>
  <c r="DH167" i="8"/>
  <c r="DH169" i="8" s="1"/>
  <c r="DH168" i="8"/>
  <c r="AN126" i="8"/>
  <c r="CI146" i="8"/>
  <c r="O152" i="8"/>
  <c r="AY152" i="8"/>
  <c r="DG112" i="8"/>
  <c r="CI152" i="8"/>
  <c r="BK152" i="8"/>
  <c r="DG152" i="8"/>
  <c r="CU152" i="8"/>
  <c r="AM146" i="8"/>
  <c r="DS112" i="8"/>
  <c r="CU112" i="8"/>
  <c r="CI112" i="8"/>
  <c r="CJ156" i="8"/>
  <c r="P155" i="8"/>
  <c r="P156" i="8" s="1"/>
  <c r="AM106" i="8"/>
  <c r="CI106" i="8"/>
  <c r="DG126" i="8"/>
  <c r="DH126" i="8"/>
  <c r="DS152" i="8"/>
  <c r="DS165" i="8"/>
  <c r="DS166" i="8" s="1"/>
  <c r="DT164" i="8"/>
  <c r="DT163" i="8"/>
  <c r="DH127" i="8"/>
  <c r="DH129" i="8" s="1"/>
  <c r="DH131" i="8" s="1"/>
  <c r="DG129" i="8"/>
  <c r="DG131" i="8" s="1"/>
  <c r="DG132" i="8" s="1"/>
  <c r="DH130" i="8"/>
  <c r="BW112" i="8"/>
  <c r="BW152" i="8"/>
  <c r="BL155" i="8"/>
  <c r="BL156" i="8" s="1"/>
  <c r="BL126" i="8"/>
  <c r="BK126" i="8"/>
  <c r="AY121" i="8"/>
  <c r="AY125" i="8" s="1"/>
  <c r="AZ122" i="8"/>
  <c r="AY123" i="8" s="1"/>
  <c r="AZ119" i="8"/>
  <c r="AZ121" i="8" s="1"/>
  <c r="AZ125" i="8" s="1"/>
  <c r="AN155" i="8"/>
  <c r="AN156" i="8" s="1"/>
  <c r="AM173" i="8"/>
  <c r="AM174" i="8" s="1"/>
  <c r="AN172" i="8"/>
  <c r="AN171" i="8"/>
  <c r="AN158" i="8"/>
  <c r="AM159" i="8" s="1"/>
  <c r="AN157" i="8"/>
  <c r="AN161" i="8" s="1"/>
  <c r="AM161" i="8"/>
  <c r="AM152" i="8"/>
  <c r="AA152" i="8"/>
  <c r="AB172" i="8"/>
  <c r="AB171" i="8"/>
  <c r="AB173" i="8" s="1"/>
  <c r="AA173" i="8"/>
  <c r="AA174" i="8" s="1"/>
  <c r="BL168" i="8"/>
  <c r="BK169" i="8"/>
  <c r="BK170" i="8" s="1"/>
  <c r="BL167" i="8"/>
  <c r="AM131" i="8"/>
  <c r="AM132" i="8" s="1"/>
  <c r="AB151" i="8"/>
  <c r="AB152" i="8" s="1"/>
  <c r="CJ145" i="8"/>
  <c r="CJ146" i="8" s="1"/>
  <c r="CI131" i="8"/>
  <c r="CI132" i="8" s="1"/>
  <c r="AZ131" i="8"/>
  <c r="AZ132" i="8" s="1"/>
  <c r="BL151" i="8"/>
  <c r="BL152" i="8" s="1"/>
  <c r="AZ173" i="8"/>
  <c r="AZ174" i="8" s="1"/>
  <c r="CV151" i="8"/>
  <c r="CV152" i="8" s="1"/>
  <c r="DT111" i="8"/>
  <c r="DT112" i="8" s="1"/>
  <c r="CV111" i="8"/>
  <c r="CV112" i="8" s="1"/>
  <c r="BL173" i="8"/>
  <c r="BL174" i="8" s="1"/>
  <c r="CJ111" i="8"/>
  <c r="CJ112" i="8" s="1"/>
  <c r="DT151" i="8"/>
  <c r="DT152" i="8" s="1"/>
  <c r="CV173" i="8"/>
  <c r="CV174" i="8" s="1"/>
  <c r="CJ131" i="8"/>
  <c r="CJ132" i="8" s="1"/>
  <c r="AY131" i="8"/>
  <c r="AY132" i="8" s="1"/>
  <c r="AZ169" i="8"/>
  <c r="AZ170" i="8" s="1"/>
  <c r="AB169" i="8"/>
  <c r="AB170" i="8" s="1"/>
  <c r="BX151" i="8"/>
  <c r="BX152" i="8" s="1"/>
  <c r="AN131" i="8"/>
  <c r="AN132" i="8" s="1"/>
  <c r="CV169" i="8"/>
  <c r="CV170" i="8" s="1"/>
  <c r="AB131" i="8"/>
  <c r="AB132" i="8" s="1"/>
  <c r="DH151" i="8"/>
  <c r="DH152" i="8" s="1"/>
  <c r="BX169" i="8"/>
  <c r="BX170" i="8" s="1"/>
  <c r="DH161" i="8"/>
  <c r="DH162" i="8" s="1"/>
  <c r="AN145" i="8"/>
  <c r="AN146" i="8" s="1"/>
  <c r="BK131" i="8"/>
  <c r="BK132" i="8" s="1"/>
  <c r="DT169" i="8"/>
  <c r="DT170" i="8" s="1"/>
  <c r="AZ151" i="8"/>
  <c r="AZ152" i="8" s="1"/>
  <c r="DH111" i="8"/>
  <c r="DH112" i="8" s="1"/>
  <c r="CJ173" i="8"/>
  <c r="CJ174" i="8" s="1"/>
  <c r="P169" i="8"/>
  <c r="P170" i="8" s="1"/>
  <c r="AN151" i="8"/>
  <c r="AN152" i="8" s="1"/>
  <c r="DH173" i="8"/>
  <c r="DH174" i="8" s="1"/>
  <c r="P151" i="8"/>
  <c r="P152" i="8" s="1"/>
  <c r="CJ151" i="8"/>
  <c r="CJ152" i="8" s="1"/>
  <c r="AN105" i="8"/>
  <c r="AN106" i="8" s="1"/>
  <c r="AA131" i="8"/>
  <c r="AA132" i="8" s="1"/>
  <c r="AA175" i="8" s="1"/>
  <c r="BX111" i="8"/>
  <c r="BX112" i="8" s="1"/>
  <c r="CJ105" i="8"/>
  <c r="CJ106" i="8" s="1"/>
  <c r="BL131" i="8"/>
  <c r="BL132" i="8" s="1"/>
  <c r="BW175" i="8" l="1"/>
  <c r="BK175" i="8"/>
  <c r="CJ175" i="8"/>
  <c r="DG175" i="8"/>
  <c r="BX175" i="8"/>
  <c r="CU175" i="8"/>
  <c r="CV175" i="8"/>
  <c r="DS175" i="8"/>
  <c r="CI175" i="8"/>
  <c r="P162" i="8"/>
  <c r="O162" i="8"/>
  <c r="AB174" i="8"/>
  <c r="AB175" i="8" s="1"/>
  <c r="DH170" i="8"/>
  <c r="AN162" i="8"/>
  <c r="AM162" i="8"/>
  <c r="AM175" i="8" s="1"/>
  <c r="AZ126" i="8"/>
  <c r="AZ175" i="8" s="1"/>
  <c r="DT165" i="8"/>
  <c r="DT166" i="8" s="1"/>
  <c r="DT175" i="8" s="1"/>
  <c r="DH132" i="8"/>
  <c r="AY126" i="8"/>
  <c r="AY175" i="8" s="1"/>
  <c r="AN173" i="8"/>
  <c r="AN174" i="8" s="1"/>
  <c r="AN175" i="8" s="1"/>
  <c r="BL169" i="8"/>
  <c r="BL170" i="8" s="1"/>
  <c r="BL175" i="8" s="1"/>
  <c r="DH175" i="8" l="1"/>
  <c r="L178" i="8" s="1"/>
  <c r="L25" i="34" s="1"/>
  <c r="F178" i="8"/>
  <c r="F25" i="34" s="1"/>
  <c r="K178" i="8"/>
  <c r="K25" i="34" s="1"/>
  <c r="G178" i="8"/>
  <c r="G25" i="34" s="1"/>
  <c r="H178" i="8"/>
  <c r="H25" i="34" s="1"/>
  <c r="M178" i="8"/>
  <c r="M25" i="34" s="1"/>
  <c r="J178" i="8"/>
  <c r="J25" i="34" s="1"/>
  <c r="I178" i="8"/>
  <c r="I25" i="34" s="1"/>
  <c r="E54" i="11" l="1"/>
  <c r="E53" i="11"/>
  <c r="E52" i="11"/>
  <c r="E51" i="11"/>
  <c r="E50" i="11"/>
  <c r="E49" i="11"/>
  <c r="E48" i="11"/>
  <c r="E47" i="11"/>
  <c r="E46" i="11"/>
  <c r="E44" i="11"/>
  <c r="D36" i="11"/>
  <c r="E36" i="11" s="1"/>
  <c r="D35" i="11"/>
  <c r="E35" i="11" s="1"/>
  <c r="E37" i="11" s="1"/>
  <c r="E19" i="11"/>
  <c r="E18" i="11"/>
  <c r="E17" i="11"/>
  <c r="H19" i="9"/>
  <c r="L19" i="9" s="1"/>
  <c r="H18" i="9"/>
  <c r="L18" i="9" s="1"/>
  <c r="H16" i="9"/>
  <c r="N16" i="9" s="1"/>
  <c r="H15" i="9"/>
  <c r="N15" i="9" s="1"/>
  <c r="H13" i="9"/>
  <c r="H12" i="9"/>
  <c r="H11" i="9"/>
  <c r="T244" i="8"/>
  <c r="S244" i="8"/>
  <c r="R244" i="8"/>
  <c r="Q244" i="8"/>
  <c r="P244" i="8"/>
  <c r="N244" i="8"/>
  <c r="M244" i="8"/>
  <c r="L244" i="8"/>
  <c r="J244" i="8"/>
  <c r="U243" i="8"/>
  <c r="O243" i="8"/>
  <c r="U242" i="8"/>
  <c r="O242" i="8"/>
  <c r="U230" i="8"/>
  <c r="T230" i="8"/>
  <c r="S230" i="8"/>
  <c r="R230" i="8"/>
  <c r="Q230" i="8"/>
  <c r="P230" i="8"/>
  <c r="N230" i="8"/>
  <c r="M230" i="8"/>
  <c r="L230" i="8"/>
  <c r="J230" i="8"/>
  <c r="U211" i="8"/>
  <c r="T211" i="8"/>
  <c r="L211" i="8"/>
  <c r="R211" i="8"/>
  <c r="G210" i="8"/>
  <c r="G209" i="8"/>
  <c r="P211" i="8"/>
  <c r="Q211" i="8"/>
  <c r="M211" i="8"/>
  <c r="G203" i="8"/>
  <c r="F201" i="8"/>
  <c r="G201" i="8" s="1"/>
  <c r="F200" i="8"/>
  <c r="G200" i="8" s="1"/>
  <c r="F199" i="8"/>
  <c r="G199" i="8" s="1"/>
  <c r="F198" i="8"/>
  <c r="G198" i="8" s="1"/>
  <c r="F197" i="8"/>
  <c r="G197" i="8" s="1"/>
  <c r="F196" i="8"/>
  <c r="G196" i="8" s="1"/>
  <c r="G188" i="8"/>
  <c r="F187" i="8"/>
  <c r="G187" i="8" s="1"/>
  <c r="F186" i="8"/>
  <c r="G186" i="8" s="1"/>
  <c r="F184" i="8"/>
  <c r="G184" i="8" s="1"/>
  <c r="G72" i="8"/>
  <c r="G71" i="8"/>
  <c r="G70" i="8"/>
  <c r="H64" i="8"/>
  <c r="N64" i="8" s="1"/>
  <c r="T64" i="8" s="1"/>
  <c r="AB64" i="8" s="1"/>
  <c r="AC64" i="8" s="1"/>
  <c r="AD64" i="8" s="1"/>
  <c r="AE64" i="8" s="1"/>
  <c r="AF64" i="8" s="1"/>
  <c r="AG64" i="8" s="1"/>
  <c r="AH64" i="8" s="1"/>
  <c r="AI64" i="8" s="1"/>
  <c r="AJ64" i="8" s="1"/>
  <c r="AK64" i="8" s="1"/>
  <c r="H63" i="8"/>
  <c r="N63" i="8" s="1"/>
  <c r="AB63" i="8" s="1"/>
  <c r="AC63" i="8" s="1"/>
  <c r="AD63" i="8" s="1"/>
  <c r="AE63" i="8" s="1"/>
  <c r="AF63" i="8" s="1"/>
  <c r="AG63" i="8" s="1"/>
  <c r="AH63" i="8" s="1"/>
  <c r="AI63" i="8" s="1"/>
  <c r="AJ63" i="8" s="1"/>
  <c r="AK63" i="8" s="1"/>
  <c r="H62" i="8"/>
  <c r="N62" i="8" s="1"/>
  <c r="AB62" i="8" s="1"/>
  <c r="AC62" i="8" s="1"/>
  <c r="AD62" i="8" s="1"/>
  <c r="AE62" i="8" s="1"/>
  <c r="AF62" i="8" s="1"/>
  <c r="AG62" i="8" s="1"/>
  <c r="AH62" i="8" s="1"/>
  <c r="AI62" i="8" s="1"/>
  <c r="AJ62" i="8" s="1"/>
  <c r="AK62" i="8" s="1"/>
  <c r="H61" i="8"/>
  <c r="N61" i="8" s="1"/>
  <c r="H60" i="8"/>
  <c r="N60" i="8" s="1"/>
  <c r="AB60" i="8" s="1"/>
  <c r="AC60" i="8" s="1"/>
  <c r="AD60" i="8" s="1"/>
  <c r="AE60" i="8" s="1"/>
  <c r="AF60" i="8" s="1"/>
  <c r="AG60" i="8" s="1"/>
  <c r="AH60" i="8" s="1"/>
  <c r="AI60" i="8" s="1"/>
  <c r="AJ60" i="8" s="1"/>
  <c r="AK60" i="8" s="1"/>
  <c r="H59" i="8"/>
  <c r="N59" i="8" s="1"/>
  <c r="H58" i="8"/>
  <c r="N58" i="8" s="1"/>
  <c r="W58" i="8" s="1"/>
  <c r="H57" i="8"/>
  <c r="N57" i="8" s="1"/>
  <c r="W57" i="8" s="1"/>
  <c r="H56" i="8"/>
  <c r="N56" i="8" s="1"/>
  <c r="S56" i="8" s="1"/>
  <c r="H55" i="8"/>
  <c r="N55" i="8" s="1"/>
  <c r="H54" i="8"/>
  <c r="N54" i="8" s="1"/>
  <c r="W54" i="8" s="1"/>
  <c r="H53" i="8"/>
  <c r="N53" i="8" s="1"/>
  <c r="AB53" i="8" s="1"/>
  <c r="AC53" i="8" s="1"/>
  <c r="AD53" i="8" s="1"/>
  <c r="AE53" i="8" s="1"/>
  <c r="AF53" i="8" s="1"/>
  <c r="AG53" i="8" s="1"/>
  <c r="AH53" i="8" s="1"/>
  <c r="AI53" i="8" s="1"/>
  <c r="AJ53" i="8" s="1"/>
  <c r="AK53" i="8" s="1"/>
  <c r="H52" i="8"/>
  <c r="N52" i="8" s="1"/>
  <c r="AB52" i="8" s="1"/>
  <c r="AC52" i="8" s="1"/>
  <c r="AD52" i="8" s="1"/>
  <c r="AE52" i="8" s="1"/>
  <c r="AF52" i="8" s="1"/>
  <c r="AG52" i="8" s="1"/>
  <c r="AH52" i="8" s="1"/>
  <c r="AI52" i="8" s="1"/>
  <c r="AJ52" i="8" s="1"/>
  <c r="AK52" i="8" s="1"/>
  <c r="H51" i="8"/>
  <c r="N51" i="8" s="1"/>
  <c r="AB51" i="8" s="1"/>
  <c r="AC51" i="8" s="1"/>
  <c r="AD51" i="8" s="1"/>
  <c r="AE51" i="8" s="1"/>
  <c r="AF51" i="8" s="1"/>
  <c r="AG51" i="8" s="1"/>
  <c r="AH51" i="8" s="1"/>
  <c r="AI51" i="8" s="1"/>
  <c r="AJ51" i="8" s="1"/>
  <c r="AK51" i="8" s="1"/>
  <c r="H50" i="8"/>
  <c r="N50" i="8" s="1"/>
  <c r="V50" i="8" s="1"/>
  <c r="H49" i="8"/>
  <c r="N49" i="8" s="1"/>
  <c r="Q49" i="8" s="1"/>
  <c r="T49" i="8" s="1"/>
  <c r="W49" i="8" s="1"/>
  <c r="H48" i="8"/>
  <c r="N48" i="8" s="1"/>
  <c r="V48" i="8" s="1"/>
  <c r="H47" i="8"/>
  <c r="Y42" i="8"/>
  <c r="X42" i="8"/>
  <c r="U42" i="8"/>
  <c r="S42" i="8"/>
  <c r="P42" i="8"/>
  <c r="O42" i="8"/>
  <c r="H41" i="8"/>
  <c r="N41" i="8" s="1"/>
  <c r="Q41" i="8" s="1"/>
  <c r="T41" i="8" s="1"/>
  <c r="W41" i="8" s="1"/>
  <c r="H40" i="8"/>
  <c r="N40" i="8" s="1"/>
  <c r="T40" i="8" s="1"/>
  <c r="AB40" i="8" s="1"/>
  <c r="AC40" i="8" s="1"/>
  <c r="AD40" i="8" s="1"/>
  <c r="AE40" i="8" s="1"/>
  <c r="AF40" i="8" s="1"/>
  <c r="AG40" i="8" s="1"/>
  <c r="AH40" i="8" s="1"/>
  <c r="AI40" i="8" s="1"/>
  <c r="AJ40" i="8" s="1"/>
  <c r="AK40" i="8" s="1"/>
  <c r="H39" i="8"/>
  <c r="N39" i="8" s="1"/>
  <c r="H38" i="8"/>
  <c r="N38" i="8" s="1"/>
  <c r="H37" i="8"/>
  <c r="N37" i="8" s="1"/>
  <c r="R37" i="8" s="1"/>
  <c r="H36" i="8"/>
  <c r="N36" i="8" s="1"/>
  <c r="T36" i="8" s="1"/>
  <c r="H35" i="8"/>
  <c r="N35" i="8" s="1"/>
  <c r="Q35" i="8" s="1"/>
  <c r="T35" i="8" s="1"/>
  <c r="W35" i="8" s="1"/>
  <c r="H34" i="8"/>
  <c r="N34" i="8" s="1"/>
  <c r="Q34" i="8" s="1"/>
  <c r="T34" i="8" s="1"/>
  <c r="W34" i="8" s="1"/>
  <c r="H33" i="8"/>
  <c r="N33" i="8" s="1"/>
  <c r="Q33" i="8" s="1"/>
  <c r="T33" i="8" s="1"/>
  <c r="W33" i="8" s="1"/>
  <c r="H32" i="8"/>
  <c r="N32" i="8" s="1"/>
  <c r="H31" i="8"/>
  <c r="N31" i="8" s="1"/>
  <c r="H30" i="8"/>
  <c r="N30" i="8" s="1"/>
  <c r="H29" i="8"/>
  <c r="N29" i="8" s="1"/>
  <c r="Q29" i="8" s="1"/>
  <c r="H28" i="8"/>
  <c r="N28" i="8" s="1"/>
  <c r="AB28" i="8" s="1"/>
  <c r="AC28" i="8" s="1"/>
  <c r="AD28" i="8" s="1"/>
  <c r="AE28" i="8" s="1"/>
  <c r="AF28" i="8" s="1"/>
  <c r="AG28" i="8" s="1"/>
  <c r="AH28" i="8" s="1"/>
  <c r="AI28" i="8" s="1"/>
  <c r="AJ28" i="8" s="1"/>
  <c r="AK28" i="8" s="1"/>
  <c r="H27" i="8"/>
  <c r="N27" i="8" s="1"/>
  <c r="H21" i="8"/>
  <c r="G20" i="8"/>
  <c r="H19" i="8"/>
  <c r="H18" i="8"/>
  <c r="H17" i="8"/>
  <c r="H9" i="8"/>
  <c r="G8" i="8"/>
  <c r="H8" i="8" s="1"/>
  <c r="U8" i="8" s="1"/>
  <c r="K28" i="9" l="1"/>
  <c r="E33" i="11"/>
  <c r="N25" i="9"/>
  <c r="L25" i="9"/>
  <c r="S211" i="8"/>
  <c r="O210" i="8"/>
  <c r="N211" i="8"/>
  <c r="O209" i="8"/>
  <c r="E55" i="11"/>
  <c r="AD72" i="8"/>
  <c r="AE72" i="8" s="1"/>
  <c r="AF72" i="8"/>
  <c r="AI72" i="8"/>
  <c r="AJ72" i="8" s="1"/>
  <c r="AK72" i="8" s="1"/>
  <c r="N72" i="8"/>
  <c r="AB72" i="8" s="1"/>
  <c r="AC72" i="8" s="1"/>
  <c r="AI70" i="8"/>
  <c r="AJ70" i="8" s="1"/>
  <c r="AK70" i="8" s="1"/>
  <c r="N70" i="8"/>
  <c r="AD70" i="8"/>
  <c r="AE70" i="8" s="1"/>
  <c r="AF70" i="8"/>
  <c r="AG70" i="8" s="1"/>
  <c r="AH70" i="8" s="1"/>
  <c r="N71" i="8"/>
  <c r="AB71" i="8" s="1"/>
  <c r="AC71" i="8" s="1"/>
  <c r="AD71" i="8"/>
  <c r="AF71" i="8"/>
  <c r="AI71" i="8"/>
  <c r="AJ71" i="8" s="1"/>
  <c r="AK71" i="8" s="1"/>
  <c r="O58" i="8"/>
  <c r="O17" i="8"/>
  <c r="S17" i="8"/>
  <c r="W17" i="8"/>
  <c r="P17" i="8"/>
  <c r="T17" i="8"/>
  <c r="X17" i="8"/>
  <c r="V17" i="8"/>
  <c r="Q17" i="8"/>
  <c r="U17" i="8"/>
  <c r="Y17" i="8"/>
  <c r="R17" i="8"/>
  <c r="I21" i="8"/>
  <c r="O21" i="8"/>
  <c r="S21" i="8"/>
  <c r="W21" i="8"/>
  <c r="R21" i="8"/>
  <c r="P21" i="8"/>
  <c r="T21" i="8"/>
  <c r="X21" i="8"/>
  <c r="N21" i="8"/>
  <c r="Q21" i="8"/>
  <c r="U21" i="8"/>
  <c r="Y21" i="8"/>
  <c r="V21" i="8"/>
  <c r="I18" i="8"/>
  <c r="P18" i="8"/>
  <c r="T18" i="8"/>
  <c r="X18" i="8"/>
  <c r="S18" i="8"/>
  <c r="Q18" i="8"/>
  <c r="U18" i="8"/>
  <c r="Y18" i="8"/>
  <c r="R18" i="8"/>
  <c r="V18" i="8"/>
  <c r="N18" i="8"/>
  <c r="O18" i="8"/>
  <c r="W18" i="8"/>
  <c r="I19" i="8"/>
  <c r="Q19" i="8"/>
  <c r="U19" i="8"/>
  <c r="Y19" i="8"/>
  <c r="X19" i="8"/>
  <c r="R19" i="8"/>
  <c r="V19" i="8"/>
  <c r="N19" i="8"/>
  <c r="P19" i="8"/>
  <c r="O19" i="8"/>
  <c r="S19" i="8"/>
  <c r="W19" i="8"/>
  <c r="T19" i="8"/>
  <c r="F204" i="8"/>
  <c r="Y47" i="8"/>
  <c r="R47" i="8"/>
  <c r="H70" i="8"/>
  <c r="W56" i="8"/>
  <c r="F189" i="8"/>
  <c r="T61" i="8"/>
  <c r="AB61" i="8" s="1"/>
  <c r="AC61" i="8" s="1"/>
  <c r="AD61" i="8" s="1"/>
  <c r="AE61" i="8" s="1"/>
  <c r="AF61" i="8" s="1"/>
  <c r="AG61" i="8" s="1"/>
  <c r="AH61" i="8" s="1"/>
  <c r="AI61" i="8" s="1"/>
  <c r="AJ61" i="8" s="1"/>
  <c r="AK61" i="8" s="1"/>
  <c r="Q31" i="8"/>
  <c r="T31" i="8" s="1"/>
  <c r="W31" i="8" s="1"/>
  <c r="T47" i="8"/>
  <c r="I8" i="8"/>
  <c r="I17" i="8"/>
  <c r="N47" i="8"/>
  <c r="N65" i="8" s="1"/>
  <c r="V47" i="8"/>
  <c r="O54" i="8"/>
  <c r="O56" i="8"/>
  <c r="S57" i="8"/>
  <c r="G195" i="8"/>
  <c r="G204" i="8" s="1"/>
  <c r="U244" i="8"/>
  <c r="AB41" i="8"/>
  <c r="AC41" i="8" s="1"/>
  <c r="AD41" i="8" s="1"/>
  <c r="AE41" i="8" s="1"/>
  <c r="AF41" i="8" s="1"/>
  <c r="AG41" i="8" s="1"/>
  <c r="AH41" i="8" s="1"/>
  <c r="AI41" i="8" s="1"/>
  <c r="AJ41" i="8" s="1"/>
  <c r="AK41" i="8" s="1"/>
  <c r="AB49" i="8"/>
  <c r="AC49" i="8" s="1"/>
  <c r="AD49" i="8" s="1"/>
  <c r="AE49" i="8" s="1"/>
  <c r="AF49" i="8" s="1"/>
  <c r="AG49" i="8" s="1"/>
  <c r="AH49" i="8" s="1"/>
  <c r="AI49" i="8" s="1"/>
  <c r="AJ49" i="8" s="1"/>
  <c r="AK49" i="8" s="1"/>
  <c r="P47" i="8"/>
  <c r="X47" i="8"/>
  <c r="H72" i="8"/>
  <c r="AG72" i="8"/>
  <c r="AH72" i="8" s="1"/>
  <c r="V55" i="8"/>
  <c r="R55" i="8"/>
  <c r="Y55" i="8"/>
  <c r="U55" i="8"/>
  <c r="Q55" i="8"/>
  <c r="X55" i="8"/>
  <c r="T55" i="8"/>
  <c r="P55" i="8"/>
  <c r="W55" i="8"/>
  <c r="S55" i="8"/>
  <c r="O55" i="8"/>
  <c r="V9" i="8"/>
  <c r="R9" i="8"/>
  <c r="N9" i="8"/>
  <c r="Y9" i="8"/>
  <c r="U9" i="8"/>
  <c r="U10" i="8" s="1"/>
  <c r="Q9" i="8"/>
  <c r="I9" i="8"/>
  <c r="X9" i="8"/>
  <c r="T9" i="8"/>
  <c r="P9" i="8"/>
  <c r="W9" i="8"/>
  <c r="S9" i="8"/>
  <c r="O9" i="8"/>
  <c r="T59" i="8"/>
  <c r="AB59" i="8" s="1"/>
  <c r="AC59" i="8" s="1"/>
  <c r="AD59" i="8" s="1"/>
  <c r="AE59" i="8" s="1"/>
  <c r="AF59" i="8" s="1"/>
  <c r="AG59" i="8" s="1"/>
  <c r="AH59" i="8" s="1"/>
  <c r="AI59" i="8" s="1"/>
  <c r="AJ59" i="8" s="1"/>
  <c r="AK59" i="8" s="1"/>
  <c r="Q30" i="8"/>
  <c r="T30" i="8" s="1"/>
  <c r="W30" i="8" s="1"/>
  <c r="X8" i="8"/>
  <c r="T8" i="8"/>
  <c r="P8" i="8"/>
  <c r="W8" i="8"/>
  <c r="S8" i="8"/>
  <c r="O8" i="8"/>
  <c r="V8" i="8"/>
  <c r="R8" i="8"/>
  <c r="N8" i="8"/>
  <c r="Y8" i="8"/>
  <c r="AB36" i="8"/>
  <c r="AC36" i="8" s="1"/>
  <c r="AD36" i="8" s="1"/>
  <c r="AE36" i="8" s="1"/>
  <c r="AF36" i="8" s="1"/>
  <c r="AG36" i="8" s="1"/>
  <c r="AH36" i="8" s="1"/>
  <c r="AI36" i="8" s="1"/>
  <c r="AJ36" i="8" s="1"/>
  <c r="AK36" i="8" s="1"/>
  <c r="V37" i="8"/>
  <c r="V54" i="8"/>
  <c r="R54" i="8"/>
  <c r="Y54" i="8"/>
  <c r="U54" i="8"/>
  <c r="Q54" i="8"/>
  <c r="X54" i="8"/>
  <c r="T54" i="8"/>
  <c r="P54" i="8"/>
  <c r="V58" i="8"/>
  <c r="R58" i="8"/>
  <c r="Y58" i="8"/>
  <c r="U58" i="8"/>
  <c r="Q58" i="8"/>
  <c r="X58" i="8"/>
  <c r="T58" i="8"/>
  <c r="P58" i="8"/>
  <c r="N42" i="8"/>
  <c r="T32" i="8"/>
  <c r="AB32" i="8" s="1"/>
  <c r="AC32" i="8" s="1"/>
  <c r="AD32" i="8" s="1"/>
  <c r="AE32" i="8" s="1"/>
  <c r="AF32" i="8" s="1"/>
  <c r="AG32" i="8" s="1"/>
  <c r="AH32" i="8" s="1"/>
  <c r="AI32" i="8" s="1"/>
  <c r="AJ32" i="8" s="1"/>
  <c r="AK32" i="8" s="1"/>
  <c r="R38" i="8"/>
  <c r="V38" i="8" s="1"/>
  <c r="Y48" i="8"/>
  <c r="U48" i="8"/>
  <c r="Q48" i="8"/>
  <c r="X48" i="8"/>
  <c r="T48" i="8"/>
  <c r="P48" i="8"/>
  <c r="W48" i="8"/>
  <c r="S48" i="8"/>
  <c r="O48" i="8"/>
  <c r="Y50" i="8"/>
  <c r="U50" i="8"/>
  <c r="Q50" i="8"/>
  <c r="X50" i="8"/>
  <c r="T50" i="8"/>
  <c r="P50" i="8"/>
  <c r="W50" i="8"/>
  <c r="S50" i="8"/>
  <c r="O50" i="8"/>
  <c r="V57" i="8"/>
  <c r="R57" i="8"/>
  <c r="Y57" i="8"/>
  <c r="U57" i="8"/>
  <c r="Q57" i="8"/>
  <c r="X57" i="8"/>
  <c r="T57" i="8"/>
  <c r="P57" i="8"/>
  <c r="AE71" i="8"/>
  <c r="H71" i="8"/>
  <c r="Q8" i="8"/>
  <c r="T29" i="8"/>
  <c r="R39" i="8"/>
  <c r="V39" i="8" s="1"/>
  <c r="R48" i="8"/>
  <c r="R50" i="8"/>
  <c r="S54" i="8"/>
  <c r="V56" i="8"/>
  <c r="R56" i="8"/>
  <c r="Y56" i="8"/>
  <c r="U56" i="8"/>
  <c r="Q56" i="8"/>
  <c r="X56" i="8"/>
  <c r="T56" i="8"/>
  <c r="P56" i="8"/>
  <c r="O57" i="8"/>
  <c r="S58" i="8"/>
  <c r="N17" i="8"/>
  <c r="O47" i="8"/>
  <c r="S47" i="8"/>
  <c r="W47" i="8"/>
  <c r="AB33" i="8"/>
  <c r="AC33" i="8" s="1"/>
  <c r="AD33" i="8" s="1"/>
  <c r="AE33" i="8" s="1"/>
  <c r="AF33" i="8" s="1"/>
  <c r="AG33" i="8" s="1"/>
  <c r="AH33" i="8" s="1"/>
  <c r="AI33" i="8" s="1"/>
  <c r="AJ33" i="8" s="1"/>
  <c r="AK33" i="8" s="1"/>
  <c r="AB34" i="8"/>
  <c r="AC34" i="8" s="1"/>
  <c r="AD34" i="8" s="1"/>
  <c r="AE34" i="8" s="1"/>
  <c r="AF34" i="8" s="1"/>
  <c r="AG34" i="8" s="1"/>
  <c r="AH34" i="8" s="1"/>
  <c r="AI34" i="8" s="1"/>
  <c r="AJ34" i="8" s="1"/>
  <c r="AK34" i="8" s="1"/>
  <c r="AB35" i="8"/>
  <c r="AC35" i="8" s="1"/>
  <c r="AD35" i="8" s="1"/>
  <c r="AE35" i="8" s="1"/>
  <c r="AF35" i="8" s="1"/>
  <c r="AG35" i="8" s="1"/>
  <c r="AH35" i="8" s="1"/>
  <c r="AI35" i="8" s="1"/>
  <c r="AJ35" i="8" s="1"/>
  <c r="AK35" i="8" s="1"/>
  <c r="H20" i="8"/>
  <c r="AB27" i="8"/>
  <c r="AC27" i="8" s="1"/>
  <c r="AD27" i="8" s="1"/>
  <c r="AE27" i="8" s="1"/>
  <c r="AF27" i="8" s="1"/>
  <c r="AG27" i="8" s="1"/>
  <c r="AH27" i="8" s="1"/>
  <c r="AI27" i="8" s="1"/>
  <c r="AJ27" i="8" s="1"/>
  <c r="AK27" i="8" s="1"/>
  <c r="Q47" i="8"/>
  <c r="U47" i="8"/>
  <c r="G181" i="8"/>
  <c r="G189" i="8"/>
  <c r="O244" i="8"/>
  <c r="G192" i="8" l="1"/>
  <c r="E77" i="11"/>
  <c r="C48" i="34" s="1"/>
  <c r="M26" i="34"/>
  <c r="I26" i="34"/>
  <c r="E26" i="34"/>
  <c r="L26" i="34"/>
  <c r="H26" i="34"/>
  <c r="D26" i="34"/>
  <c r="J26" i="34"/>
  <c r="K26" i="34"/>
  <c r="G26" i="34"/>
  <c r="F26" i="34"/>
  <c r="V25" i="9"/>
  <c r="J28" i="9" s="1"/>
  <c r="E31" i="1"/>
  <c r="E31" i="34"/>
  <c r="O211" i="8"/>
  <c r="AB18" i="8"/>
  <c r="AC18" i="8" s="1"/>
  <c r="AJ73" i="8"/>
  <c r="AK73" i="8"/>
  <c r="AB21" i="8"/>
  <c r="AJ21" i="8" s="1"/>
  <c r="AB19" i="8"/>
  <c r="AI19" i="8" s="1"/>
  <c r="AB31" i="8"/>
  <c r="AC31" i="8" s="1"/>
  <c r="AD31" i="8" s="1"/>
  <c r="AE31" i="8" s="1"/>
  <c r="AF31" i="8" s="1"/>
  <c r="AG31" i="8" s="1"/>
  <c r="AH31" i="8" s="1"/>
  <c r="AI31" i="8" s="1"/>
  <c r="AJ31" i="8" s="1"/>
  <c r="AK31" i="8" s="1"/>
  <c r="I20" i="8"/>
  <c r="R20" i="8"/>
  <c r="R23" i="8" s="1"/>
  <c r="V20" i="8"/>
  <c r="V23" i="8" s="1"/>
  <c r="N20" i="8"/>
  <c r="N23" i="8" s="1"/>
  <c r="O20" i="8"/>
  <c r="O23" i="8" s="1"/>
  <c r="S20" i="8"/>
  <c r="S23" i="8" s="1"/>
  <c r="W20" i="8"/>
  <c r="W23" i="8" s="1"/>
  <c r="U20" i="8"/>
  <c r="U23" i="8" s="1"/>
  <c r="P20" i="8"/>
  <c r="P23" i="8" s="1"/>
  <c r="T20" i="8"/>
  <c r="T23" i="8" s="1"/>
  <c r="X20" i="8"/>
  <c r="X23" i="8" s="1"/>
  <c r="Q20" i="8"/>
  <c r="Q23" i="8" s="1"/>
  <c r="Y20" i="8"/>
  <c r="Y23" i="8" s="1"/>
  <c r="O230" i="8"/>
  <c r="AI73" i="8"/>
  <c r="AB48" i="8"/>
  <c r="AC48" i="8" s="1"/>
  <c r="AD48" i="8" s="1"/>
  <c r="AE48" i="8" s="1"/>
  <c r="AF48" i="8" s="1"/>
  <c r="AG48" i="8" s="1"/>
  <c r="AH48" i="8" s="1"/>
  <c r="AI48" i="8" s="1"/>
  <c r="AJ48" i="8" s="1"/>
  <c r="AK48" i="8" s="1"/>
  <c r="AB56" i="8"/>
  <c r="AC56" i="8" s="1"/>
  <c r="AD56" i="8" s="1"/>
  <c r="AE56" i="8" s="1"/>
  <c r="AF56" i="8" s="1"/>
  <c r="AG56" i="8" s="1"/>
  <c r="AH56" i="8" s="1"/>
  <c r="AI56" i="8" s="1"/>
  <c r="AJ56" i="8" s="1"/>
  <c r="AK56" i="8" s="1"/>
  <c r="R10" i="8"/>
  <c r="H27" i="1"/>
  <c r="L27" i="1"/>
  <c r="F27" i="1"/>
  <c r="D27" i="1"/>
  <c r="G27" i="1"/>
  <c r="E27" i="1"/>
  <c r="I27" i="1"/>
  <c r="M27" i="1"/>
  <c r="J27" i="1"/>
  <c r="K27" i="1"/>
  <c r="F26" i="1"/>
  <c r="J26" i="1"/>
  <c r="D26" i="1"/>
  <c r="L26" i="1"/>
  <c r="E26" i="1"/>
  <c r="M26" i="1"/>
  <c r="G26" i="1"/>
  <c r="K26" i="1"/>
  <c r="H26" i="1"/>
  <c r="I26" i="1"/>
  <c r="Q10" i="8"/>
  <c r="V65" i="8"/>
  <c r="P10" i="8"/>
  <c r="J5" i="8"/>
  <c r="Y65" i="8"/>
  <c r="Q42" i="8"/>
  <c r="AB39" i="8"/>
  <c r="AC39" i="8" s="1"/>
  <c r="AD39" i="8" s="1"/>
  <c r="AE39" i="8" s="1"/>
  <c r="AF39" i="8" s="1"/>
  <c r="AG39" i="8" s="1"/>
  <c r="AH39" i="8" s="1"/>
  <c r="AI39" i="8" s="1"/>
  <c r="AJ39" i="8" s="1"/>
  <c r="AK39" i="8" s="1"/>
  <c r="AB58" i="8"/>
  <c r="AC58" i="8" s="1"/>
  <c r="AD58" i="8" s="1"/>
  <c r="AE58" i="8" s="1"/>
  <c r="AF58" i="8" s="1"/>
  <c r="AG58" i="8" s="1"/>
  <c r="AH58" i="8" s="1"/>
  <c r="AI58" i="8" s="1"/>
  <c r="AJ58" i="8" s="1"/>
  <c r="AK58" i="8" s="1"/>
  <c r="AB54" i="8"/>
  <c r="AC54" i="8" s="1"/>
  <c r="AD54" i="8" s="1"/>
  <c r="AE54" i="8" s="1"/>
  <c r="AF54" i="8" s="1"/>
  <c r="AG54" i="8" s="1"/>
  <c r="AH54" i="8" s="1"/>
  <c r="AI54" i="8" s="1"/>
  <c r="AJ54" i="8" s="1"/>
  <c r="AK54" i="8" s="1"/>
  <c r="V10" i="8"/>
  <c r="T65" i="8"/>
  <c r="R65" i="8"/>
  <c r="R42" i="8"/>
  <c r="O10" i="8"/>
  <c r="T10" i="8"/>
  <c r="AB55" i="8"/>
  <c r="AC55" i="8" s="1"/>
  <c r="AD55" i="8" s="1"/>
  <c r="AE55" i="8" s="1"/>
  <c r="AF55" i="8" s="1"/>
  <c r="AG55" i="8" s="1"/>
  <c r="AH55" i="8" s="1"/>
  <c r="AI55" i="8" s="1"/>
  <c r="AJ55" i="8" s="1"/>
  <c r="AK55" i="8" s="1"/>
  <c r="U65" i="8"/>
  <c r="O65" i="8"/>
  <c r="AB57" i="8"/>
  <c r="AC57" i="8" s="1"/>
  <c r="AD57" i="8" s="1"/>
  <c r="AE57" i="8" s="1"/>
  <c r="AF57" i="8" s="1"/>
  <c r="AG57" i="8" s="1"/>
  <c r="AH57" i="8" s="1"/>
  <c r="AI57" i="8" s="1"/>
  <c r="AJ57" i="8" s="1"/>
  <c r="AK57" i="8" s="1"/>
  <c r="AB50" i="8"/>
  <c r="AC50" i="8" s="1"/>
  <c r="AD50" i="8" s="1"/>
  <c r="AE50" i="8" s="1"/>
  <c r="AF50" i="8" s="1"/>
  <c r="AG50" i="8" s="1"/>
  <c r="AH50" i="8" s="1"/>
  <c r="AI50" i="8" s="1"/>
  <c r="AJ50" i="8" s="1"/>
  <c r="AK50" i="8" s="1"/>
  <c r="P65" i="8"/>
  <c r="AB30" i="8"/>
  <c r="AC30" i="8" s="1"/>
  <c r="AD30" i="8" s="1"/>
  <c r="AE30" i="8" s="1"/>
  <c r="AF30" i="8" s="1"/>
  <c r="AG30" i="8" s="1"/>
  <c r="AH30" i="8" s="1"/>
  <c r="AI30" i="8" s="1"/>
  <c r="AJ30" i="8" s="1"/>
  <c r="AK30" i="8" s="1"/>
  <c r="X65" i="8"/>
  <c r="Y10" i="8"/>
  <c r="AB9" i="8"/>
  <c r="W65" i="8"/>
  <c r="AB17" i="8"/>
  <c r="W29" i="8"/>
  <c r="W42" i="8" s="1"/>
  <c r="T42" i="8"/>
  <c r="AB38" i="8"/>
  <c r="AC38" i="8" s="1"/>
  <c r="AD38" i="8" s="1"/>
  <c r="AE38" i="8" s="1"/>
  <c r="AF38" i="8" s="1"/>
  <c r="AG38" i="8" s="1"/>
  <c r="AH38" i="8" s="1"/>
  <c r="AI38" i="8" s="1"/>
  <c r="AJ38" i="8" s="1"/>
  <c r="AK38" i="8" s="1"/>
  <c r="N10" i="8"/>
  <c r="AB8" i="8"/>
  <c r="S10" i="8"/>
  <c r="X10" i="8"/>
  <c r="AF73" i="8"/>
  <c r="AG71" i="8"/>
  <c r="Q65" i="8"/>
  <c r="N73" i="8"/>
  <c r="AB70" i="8"/>
  <c r="AC70" i="8" s="1"/>
  <c r="AB47" i="8"/>
  <c r="AC47" i="8" s="1"/>
  <c r="AD47" i="8" s="1"/>
  <c r="AE47" i="8" s="1"/>
  <c r="AF47" i="8" s="1"/>
  <c r="AG47" i="8" s="1"/>
  <c r="AH47" i="8" s="1"/>
  <c r="AI47" i="8" s="1"/>
  <c r="AJ47" i="8" s="1"/>
  <c r="AK47" i="8" s="1"/>
  <c r="S65" i="8"/>
  <c r="AD73" i="8"/>
  <c r="AE73" i="8" s="1"/>
  <c r="V42" i="8"/>
  <c r="AB37" i="8"/>
  <c r="AC37" i="8" s="1"/>
  <c r="AD37" i="8" s="1"/>
  <c r="AE37" i="8" s="1"/>
  <c r="AF37" i="8" s="1"/>
  <c r="AG37" i="8" s="1"/>
  <c r="AH37" i="8" s="1"/>
  <c r="AI37" i="8" s="1"/>
  <c r="AJ37" i="8" s="1"/>
  <c r="AK37" i="8" s="1"/>
  <c r="W10" i="8"/>
  <c r="AB23" i="8" l="1"/>
  <c r="AC23" i="8" s="1"/>
  <c r="K27" i="34"/>
  <c r="G27" i="34"/>
  <c r="I27" i="34"/>
  <c r="E27" i="34"/>
  <c r="L27" i="34"/>
  <c r="D27" i="34"/>
  <c r="J27" i="34"/>
  <c r="F27" i="34"/>
  <c r="M27" i="34"/>
  <c r="H27" i="34"/>
  <c r="D31" i="34"/>
  <c r="D31" i="1"/>
  <c r="V211" i="8"/>
  <c r="AK18" i="8"/>
  <c r="AH18" i="8"/>
  <c r="AG18" i="8"/>
  <c r="AD19" i="8"/>
  <c r="AF18" i="8"/>
  <c r="AB20" i="8"/>
  <c r="AH20" i="8" s="1"/>
  <c r="AJ18" i="8"/>
  <c r="AD18" i="8"/>
  <c r="AE18" i="8"/>
  <c r="AI18" i="8"/>
  <c r="AD21" i="8"/>
  <c r="AH21" i="8"/>
  <c r="AK21" i="8"/>
  <c r="AG21" i="8"/>
  <c r="AC21" i="8"/>
  <c r="AF21" i="8"/>
  <c r="AI21" i="8"/>
  <c r="AF19" i="8"/>
  <c r="AE21" i="8"/>
  <c r="AC19" i="8"/>
  <c r="AH19" i="8"/>
  <c r="AJ19" i="8"/>
  <c r="AG19" i="8"/>
  <c r="AE19" i="8"/>
  <c r="AK19" i="8"/>
  <c r="Z42" i="8"/>
  <c r="C48" i="1"/>
  <c r="Z65" i="8"/>
  <c r="AB42" i="8"/>
  <c r="AC42" i="8" s="1"/>
  <c r="AD42" i="8" s="1"/>
  <c r="AE42" i="8" s="1"/>
  <c r="AF42" i="8" s="1"/>
  <c r="AG42" i="8" s="1"/>
  <c r="AH42" i="8" s="1"/>
  <c r="AI42" i="8" s="1"/>
  <c r="AJ42" i="8" s="1"/>
  <c r="AK42" i="8" s="1"/>
  <c r="AB65" i="8"/>
  <c r="AC65" i="8" s="1"/>
  <c r="AD65" i="8" s="1"/>
  <c r="AE65" i="8" s="1"/>
  <c r="AF65" i="8" s="1"/>
  <c r="AG65" i="8" s="1"/>
  <c r="AH65" i="8" s="1"/>
  <c r="AI65" i="8" s="1"/>
  <c r="AJ65" i="8" s="1"/>
  <c r="AK65" i="8" s="1"/>
  <c r="Z73" i="8"/>
  <c r="AB73" i="8"/>
  <c r="AC73" i="8" s="1"/>
  <c r="AB10" i="8"/>
  <c r="D23" i="34" s="1"/>
  <c r="AC8" i="8"/>
  <c r="AH17" i="8"/>
  <c r="AD17" i="8"/>
  <c r="AK17" i="8"/>
  <c r="AG17" i="8"/>
  <c r="AC17" i="8"/>
  <c r="AJ17" i="8"/>
  <c r="AF17" i="8"/>
  <c r="AI17" i="8"/>
  <c r="AE17" i="8"/>
  <c r="AJ9" i="8"/>
  <c r="AF9" i="8"/>
  <c r="AI9" i="8"/>
  <c r="AE9" i="8"/>
  <c r="AH9" i="8"/>
  <c r="AD9" i="8"/>
  <c r="AK9" i="8"/>
  <c r="AG9" i="8"/>
  <c r="AC9" i="8"/>
  <c r="K230" i="8"/>
  <c r="AH71" i="8"/>
  <c r="AH73" i="8" s="1"/>
  <c r="AG73" i="8"/>
  <c r="Z10" i="8"/>
  <c r="AB29" i="8"/>
  <c r="AC29" i="8" s="1"/>
  <c r="AD29" i="8" s="1"/>
  <c r="AE29" i="8" s="1"/>
  <c r="AF29" i="8" s="1"/>
  <c r="AG29" i="8" s="1"/>
  <c r="AH29" i="8" s="1"/>
  <c r="AI29" i="8" s="1"/>
  <c r="AJ29" i="8" s="1"/>
  <c r="AK29" i="8" s="1"/>
  <c r="D24" i="34"/>
  <c r="Z23" i="8"/>
  <c r="J12" i="8" s="1"/>
  <c r="V230" i="8" l="1"/>
  <c r="AI20" i="8"/>
  <c r="AF20" i="8"/>
  <c r="AG20" i="8"/>
  <c r="AK20" i="8"/>
  <c r="AJ20" i="8"/>
  <c r="AD20" i="8"/>
  <c r="AE20" i="8"/>
  <c r="AC20" i="8"/>
  <c r="D23" i="1"/>
  <c r="D24" i="1"/>
  <c r="AK23" i="8"/>
  <c r="M24" i="34" s="1"/>
  <c r="AG23" i="8"/>
  <c r="I24" i="34" s="1"/>
  <c r="E24" i="34"/>
  <c r="AJ23" i="8"/>
  <c r="L24" i="34" s="1"/>
  <c r="AF23" i="8"/>
  <c r="H24" i="34" s="1"/>
  <c r="AI23" i="8"/>
  <c r="K24" i="34" s="1"/>
  <c r="AE23" i="8"/>
  <c r="G24" i="34" s="1"/>
  <c r="AH23" i="8"/>
  <c r="J24" i="34" s="1"/>
  <c r="AD23" i="8"/>
  <c r="F24" i="34" s="1"/>
  <c r="AD8" i="8"/>
  <c r="AC10" i="8"/>
  <c r="E23" i="34" s="1"/>
  <c r="J234" i="8" l="1"/>
  <c r="J236" i="8" s="1"/>
  <c r="J270" i="8" s="1"/>
  <c r="S234" i="8"/>
  <c r="S236" i="8" s="1"/>
  <c r="S270" i="8" s="1"/>
  <c r="R234" i="8"/>
  <c r="R236" i="8" s="1"/>
  <c r="R270" i="8" s="1"/>
  <c r="M234" i="8"/>
  <c r="M236" i="8" s="1"/>
  <c r="M270" i="8" s="1"/>
  <c r="L234" i="8"/>
  <c r="L236" i="8" s="1"/>
  <c r="L270" i="8" s="1"/>
  <c r="N234" i="8"/>
  <c r="N236" i="8" s="1"/>
  <c r="N270" i="8" s="1"/>
  <c r="K234" i="8"/>
  <c r="K236" i="8" s="1"/>
  <c r="K270" i="8" s="1"/>
  <c r="O234" i="8"/>
  <c r="O236" i="8" s="1"/>
  <c r="O270" i="8" s="1"/>
  <c r="Q234" i="8"/>
  <c r="Q236" i="8" s="1"/>
  <c r="Q270" i="8" s="1"/>
  <c r="P234" i="8"/>
  <c r="P236" i="8" s="1"/>
  <c r="P270" i="8" s="1"/>
  <c r="L28" i="9"/>
  <c r="Z11" i="9"/>
  <c r="K24" i="1"/>
  <c r="H24" i="1"/>
  <c r="M24" i="1"/>
  <c r="J24" i="1"/>
  <c r="I24" i="1"/>
  <c r="F24" i="1"/>
  <c r="L24" i="1"/>
  <c r="G24" i="1"/>
  <c r="E24" i="1"/>
  <c r="M129" i="8"/>
  <c r="M131" i="8" s="1"/>
  <c r="M132" i="8" s="1"/>
  <c r="M121" i="8"/>
  <c r="M125" i="8" s="1"/>
  <c r="M126" i="8" s="1"/>
  <c r="G129" i="8"/>
  <c r="G131" i="8" s="1"/>
  <c r="G132" i="8" s="1"/>
  <c r="S129" i="8"/>
  <c r="S131" i="8" s="1"/>
  <c r="S132" i="8" s="1"/>
  <c r="S121" i="8"/>
  <c r="S125" i="8" s="1"/>
  <c r="S126" i="8" s="1"/>
  <c r="F129" i="8"/>
  <c r="F131" i="8" s="1"/>
  <c r="F132" i="8" s="1"/>
  <c r="E23" i="1"/>
  <c r="K244" i="8"/>
  <c r="AD10" i="8"/>
  <c r="F23" i="34" s="1"/>
  <c r="AE8" i="8"/>
  <c r="S175" i="8" l="1"/>
  <c r="M175" i="8"/>
  <c r="F31" i="34"/>
  <c r="F31" i="1"/>
  <c r="M28" i="9"/>
  <c r="L121" i="8"/>
  <c r="L125" i="8" s="1"/>
  <c r="L126" i="8" s="1"/>
  <c r="L129" i="8"/>
  <c r="L131" i="8" s="1"/>
  <c r="L132" i="8" s="1"/>
  <c r="O129" i="8"/>
  <c r="O131" i="8" s="1"/>
  <c r="O132" i="8" s="1"/>
  <c r="O121" i="8"/>
  <c r="O125" i="8" s="1"/>
  <c r="N121" i="8"/>
  <c r="N125" i="8" s="1"/>
  <c r="N126" i="8" s="1"/>
  <c r="N129" i="8"/>
  <c r="N131" i="8" s="1"/>
  <c r="N132" i="8" s="1"/>
  <c r="G121" i="8"/>
  <c r="G125" i="8" s="1"/>
  <c r="I129" i="8"/>
  <c r="I131" i="8" s="1"/>
  <c r="I132" i="8" s="1"/>
  <c r="F121" i="8"/>
  <c r="F125" i="8" s="1"/>
  <c r="P129" i="8"/>
  <c r="P131" i="8" s="1"/>
  <c r="P121" i="8"/>
  <c r="P125" i="8" s="1"/>
  <c r="F23" i="1"/>
  <c r="V244" i="8"/>
  <c r="AE10" i="8"/>
  <c r="G23" i="34" s="1"/>
  <c r="AF8" i="8"/>
  <c r="L175" i="8" l="1"/>
  <c r="N175" i="8"/>
  <c r="G31" i="34"/>
  <c r="G31" i="1"/>
  <c r="N248" i="8"/>
  <c r="N250" i="8" s="1"/>
  <c r="N271" i="8" s="1"/>
  <c r="H28" i="34" s="1"/>
  <c r="K248" i="8"/>
  <c r="K250" i="8" s="1"/>
  <c r="K271" i="8" s="1"/>
  <c r="E28" i="34" s="1"/>
  <c r="O248" i="8"/>
  <c r="O250" i="8" s="1"/>
  <c r="O271" i="8" s="1"/>
  <c r="I28" i="34" s="1"/>
  <c r="S248" i="8"/>
  <c r="S250" i="8" s="1"/>
  <c r="S271" i="8" s="1"/>
  <c r="M28" i="34" s="1"/>
  <c r="L248" i="8"/>
  <c r="L250" i="8" s="1"/>
  <c r="L271" i="8" s="1"/>
  <c r="F28" i="34" s="1"/>
  <c r="F22" i="34" s="1"/>
  <c r="P248" i="8"/>
  <c r="P250" i="8" s="1"/>
  <c r="P271" i="8" s="1"/>
  <c r="J28" i="34" s="1"/>
  <c r="J248" i="8"/>
  <c r="J250" i="8" s="1"/>
  <c r="J271" i="8" s="1"/>
  <c r="D28" i="34" s="1"/>
  <c r="M248" i="8"/>
  <c r="M250" i="8" s="1"/>
  <c r="M271" i="8" s="1"/>
  <c r="G28" i="34" s="1"/>
  <c r="Q248" i="8"/>
  <c r="Q250" i="8" s="1"/>
  <c r="Q271" i="8" s="1"/>
  <c r="K28" i="34" s="1"/>
  <c r="R248" i="8"/>
  <c r="R250" i="8" s="1"/>
  <c r="R271" i="8" s="1"/>
  <c r="L28" i="34" s="1"/>
  <c r="N28" i="9"/>
  <c r="K274" i="8"/>
  <c r="P274" i="8"/>
  <c r="O274" i="8"/>
  <c r="N274" i="8"/>
  <c r="G126" i="8"/>
  <c r="J121" i="8"/>
  <c r="J125" i="8" s="1"/>
  <c r="K121" i="8"/>
  <c r="K125" i="8" s="1"/>
  <c r="P122" i="8"/>
  <c r="O123" i="8" s="1"/>
  <c r="O126" i="8" s="1"/>
  <c r="I125" i="8"/>
  <c r="J129" i="8"/>
  <c r="J131" i="8" s="1"/>
  <c r="K129" i="8"/>
  <c r="K131" i="8" s="1"/>
  <c r="P130" i="8"/>
  <c r="P132" i="8" s="1"/>
  <c r="Q121" i="8"/>
  <c r="Q125" i="8" s="1"/>
  <c r="R129" i="8"/>
  <c r="R131" i="8" s="1"/>
  <c r="R132" i="8" s="1"/>
  <c r="H129" i="8"/>
  <c r="H131" i="8" s="1"/>
  <c r="H132" i="8" s="1"/>
  <c r="H125" i="8"/>
  <c r="H126" i="8" s="1"/>
  <c r="F126" i="8"/>
  <c r="Q129" i="8"/>
  <c r="Q131" i="8" s="1"/>
  <c r="W130" i="8"/>
  <c r="W132" i="8" s="1"/>
  <c r="E129" i="8"/>
  <c r="K130" i="8"/>
  <c r="G23" i="1"/>
  <c r="AF10" i="8"/>
  <c r="H23" i="34" s="1"/>
  <c r="AG8" i="8"/>
  <c r="L274" i="8" l="1"/>
  <c r="F34" i="34"/>
  <c r="F35" i="34" s="1"/>
  <c r="F36" i="34" s="1"/>
  <c r="F37" i="34" s="1"/>
  <c r="G22" i="34"/>
  <c r="R274" i="8"/>
  <c r="Q274" i="8"/>
  <c r="H31" i="1"/>
  <c r="H31" i="34"/>
  <c r="H22" i="34" s="1"/>
  <c r="O175" i="8"/>
  <c r="F175" i="8"/>
  <c r="H175" i="8"/>
  <c r="G175" i="8"/>
  <c r="D28" i="1"/>
  <c r="J274" i="8"/>
  <c r="I28" i="1"/>
  <c r="M28" i="1"/>
  <c r="L28" i="1"/>
  <c r="J28" i="1"/>
  <c r="E28" i="1"/>
  <c r="G28" i="1"/>
  <c r="S274" i="8"/>
  <c r="M274" i="8"/>
  <c r="K28" i="1"/>
  <c r="F28" i="1"/>
  <c r="H28" i="1"/>
  <c r="E131" i="8"/>
  <c r="E132" i="8" s="1"/>
  <c r="O28" i="9"/>
  <c r="J132" i="8"/>
  <c r="P126" i="8"/>
  <c r="E126" i="8"/>
  <c r="R121" i="8"/>
  <c r="R125" i="8" s="1"/>
  <c r="J126" i="8"/>
  <c r="Q132" i="8"/>
  <c r="Q126" i="8"/>
  <c r="K132" i="8"/>
  <c r="H23" i="1"/>
  <c r="AH8" i="8"/>
  <c r="AG10" i="8"/>
  <c r="I23" i="34" s="1"/>
  <c r="F44" i="34" l="1"/>
  <c r="F46" i="34" s="1"/>
  <c r="H34" i="34"/>
  <c r="H35" i="34" s="1"/>
  <c r="H36" i="34" s="1"/>
  <c r="G34" i="34"/>
  <c r="G35" i="34" s="1"/>
  <c r="G36" i="34" s="1"/>
  <c r="G37" i="34" s="1"/>
  <c r="E175" i="8"/>
  <c r="J175" i="8"/>
  <c r="I31" i="1"/>
  <c r="I31" i="34"/>
  <c r="I22" i="34" s="1"/>
  <c r="P175" i="8"/>
  <c r="Q175" i="8"/>
  <c r="P28" i="9"/>
  <c r="R126" i="8"/>
  <c r="R175" i="8" s="1"/>
  <c r="I126" i="8"/>
  <c r="I175" i="8" s="1"/>
  <c r="K126" i="8"/>
  <c r="U123" i="8"/>
  <c r="U126" i="8" s="1"/>
  <c r="U175" i="8" s="1"/>
  <c r="W126" i="8"/>
  <c r="W175" i="8" s="1"/>
  <c r="I23" i="1"/>
  <c r="AH10" i="8"/>
  <c r="J23" i="34" s="1"/>
  <c r="AI8" i="8"/>
  <c r="I34" i="34" l="1"/>
  <c r="I35" i="34" s="1"/>
  <c r="I36" i="34" s="1"/>
  <c r="I44" i="34" s="1"/>
  <c r="I46" i="34" s="1"/>
  <c r="G44" i="34"/>
  <c r="G46" i="34" s="1"/>
  <c r="E178" i="8"/>
  <c r="E25" i="34" s="1"/>
  <c r="E22" i="34" s="1"/>
  <c r="H44" i="34"/>
  <c r="H46" i="34" s="1"/>
  <c r="H37" i="34"/>
  <c r="J31" i="34"/>
  <c r="J22" i="34" s="1"/>
  <c r="J31" i="1"/>
  <c r="K175" i="8"/>
  <c r="Q28" i="9"/>
  <c r="J23" i="1"/>
  <c r="AI10" i="8"/>
  <c r="K23" i="34" s="1"/>
  <c r="AJ8" i="8"/>
  <c r="I37" i="34" l="1"/>
  <c r="E34" i="34"/>
  <c r="E35" i="34" s="1"/>
  <c r="E36" i="34" s="1"/>
  <c r="J34" i="34"/>
  <c r="J35" i="34" s="1"/>
  <c r="J36" i="34" s="1"/>
  <c r="J37" i="34" s="1"/>
  <c r="D178" i="8"/>
  <c r="K31" i="34"/>
  <c r="K22" i="34" s="1"/>
  <c r="K31" i="1"/>
  <c r="R28" i="9"/>
  <c r="K23" i="1"/>
  <c r="AJ10" i="8"/>
  <c r="L23" i="34" s="1"/>
  <c r="AK8" i="8"/>
  <c r="K34" i="34" l="1"/>
  <c r="K35" i="34" s="1"/>
  <c r="K36" i="34" s="1"/>
  <c r="J44" i="34"/>
  <c r="J46" i="34" s="1"/>
  <c r="D25" i="34"/>
  <c r="D22" i="34" s="1"/>
  <c r="E37" i="34"/>
  <c r="E44" i="34"/>
  <c r="E46" i="34" s="1"/>
  <c r="L31" i="1"/>
  <c r="L31" i="34"/>
  <c r="L22" i="34" s="1"/>
  <c r="S28" i="9"/>
  <c r="L23" i="1"/>
  <c r="AK10" i="8"/>
  <c r="M23" i="34" s="1"/>
  <c r="D34" i="34" l="1"/>
  <c r="D35" i="34" s="1"/>
  <c r="D36" i="34" s="1"/>
  <c r="D44" i="34" s="1"/>
  <c r="D46" i="34" s="1"/>
  <c r="L34" i="34"/>
  <c r="L35" i="34" s="1"/>
  <c r="L36" i="34" s="1"/>
  <c r="K37" i="34"/>
  <c r="K44" i="34"/>
  <c r="K46" i="34" s="1"/>
  <c r="M31" i="1"/>
  <c r="M31" i="34"/>
  <c r="M22" i="34" s="1"/>
  <c r="M23" i="1"/>
  <c r="D37" i="34" l="1"/>
  <c r="M34" i="34"/>
  <c r="M35" i="34" s="1"/>
  <c r="M36" i="34" s="1"/>
  <c r="M44" i="34" s="1"/>
  <c r="M46" i="34" s="1"/>
  <c r="L37" i="34"/>
  <c r="L44" i="34"/>
  <c r="L46" i="34" s="1"/>
  <c r="M37" i="34" l="1"/>
  <c r="E25" i="1"/>
  <c r="E22" i="1" s="1"/>
  <c r="F6" i="18" s="1"/>
  <c r="H25" i="1"/>
  <c r="J25" i="1"/>
  <c r="F25" i="1"/>
  <c r="F22" i="1" s="1"/>
  <c r="G6" i="18" s="1"/>
  <c r="D25" i="1"/>
  <c r="D22" i="1" s="1"/>
  <c r="E6" i="18" l="1"/>
  <c r="E10" i="18" s="1"/>
  <c r="F10" i="18"/>
  <c r="G10" i="18"/>
  <c r="G10" i="16"/>
  <c r="F10" i="16"/>
  <c r="E10" i="16"/>
  <c r="E21" i="16" s="1"/>
  <c r="H22" i="1"/>
  <c r="I6" i="18" s="1"/>
  <c r="G25" i="1"/>
  <c r="G22" i="1" s="1"/>
  <c r="H6" i="18" s="1"/>
  <c r="I25" i="1"/>
  <c r="K25" i="1"/>
  <c r="H10" i="18" l="1"/>
  <c r="I10" i="18"/>
  <c r="I10" i="16"/>
  <c r="H10" i="16"/>
  <c r="I22" i="1"/>
  <c r="J6" i="18" s="1"/>
  <c r="L25" i="1"/>
  <c r="J22" i="1"/>
  <c r="K6" i="18" s="1"/>
  <c r="J10" i="18" l="1"/>
  <c r="K10" i="16"/>
  <c r="K10" i="18"/>
  <c r="J10" i="16"/>
  <c r="M25" i="1"/>
  <c r="K22" i="1"/>
  <c r="L6" i="18" s="1"/>
  <c r="L10" i="18" l="1"/>
  <c r="L10" i="16"/>
  <c r="L22" i="1"/>
  <c r="M6" i="18" s="1"/>
  <c r="M22" i="1" l="1"/>
  <c r="N6" i="18" s="1"/>
  <c r="M10" i="16"/>
  <c r="M10" i="18"/>
  <c r="N10" i="16" l="1"/>
  <c r="N10" i="18"/>
  <c r="D11" i="1" l="1"/>
  <c r="E6" i="16" l="1"/>
  <c r="E4" i="18"/>
  <c r="E11" i="18" s="1"/>
  <c r="E45" i="1"/>
  <c r="F45" i="1"/>
  <c r="G45" i="1"/>
  <c r="H45" i="1"/>
  <c r="I45" i="1"/>
  <c r="J45" i="1"/>
  <c r="K45" i="1"/>
  <c r="L45" i="1"/>
  <c r="M45" i="1"/>
  <c r="E16" i="1"/>
  <c r="F16" i="1"/>
  <c r="G16" i="1"/>
  <c r="H16" i="1"/>
  <c r="I16" i="1"/>
  <c r="J16" i="1"/>
  <c r="K16" i="1"/>
  <c r="L16" i="1"/>
  <c r="M16" i="1"/>
  <c r="D45" i="1"/>
  <c r="D16" i="1"/>
  <c r="I7" i="16" l="1"/>
  <c r="I5" i="18"/>
  <c r="N7" i="16"/>
  <c r="N5" i="18"/>
  <c r="F7" i="16"/>
  <c r="F5" i="18"/>
  <c r="E7" i="16"/>
  <c r="E5" i="18"/>
  <c r="L7" i="16"/>
  <c r="L5" i="18"/>
  <c r="H7" i="16"/>
  <c r="H5" i="18"/>
  <c r="J7" i="16"/>
  <c r="J5" i="18"/>
  <c r="M7" i="16"/>
  <c r="M5" i="18"/>
  <c r="K7" i="16"/>
  <c r="K5" i="18"/>
  <c r="G7" i="16"/>
  <c r="G5" i="18"/>
  <c r="D20" i="1"/>
  <c r="E8" i="16" l="1"/>
  <c r="E20" i="16"/>
  <c r="E23" i="16" s="1"/>
  <c r="D21" i="1"/>
  <c r="D34" i="1"/>
  <c r="G13" i="18"/>
  <c r="H13" i="18"/>
  <c r="N13" i="18"/>
  <c r="J13" i="18"/>
  <c r="F13" i="18"/>
  <c r="M13" i="18"/>
  <c r="E13" i="18"/>
  <c r="K13" i="18"/>
  <c r="L13" i="18"/>
  <c r="I13" i="18"/>
  <c r="E9" i="16" l="1"/>
  <c r="E14" i="18"/>
  <c r="D15" i="18" s="1"/>
  <c r="D35" i="1"/>
  <c r="D36" i="1" s="1"/>
  <c r="E11" i="16" l="1"/>
  <c r="E14" i="16" s="1"/>
  <c r="E13" i="16" s="1"/>
  <c r="D17" i="18"/>
  <c r="C49" i="34" s="1"/>
  <c r="C51" i="34" s="1"/>
  <c r="D37" i="1"/>
  <c r="D44" i="1"/>
  <c r="D46" i="1" s="1"/>
  <c r="E12" i="16" l="1"/>
  <c r="C68" i="34"/>
  <c r="C52" i="34"/>
  <c r="C49" i="1"/>
  <c r="C51" i="1" l="1"/>
  <c r="C52" i="1" s="1"/>
  <c r="C53" i="34"/>
  <c r="C55" i="34"/>
  <c r="C5" i="14" l="1"/>
  <c r="C3" i="14" s="1"/>
  <c r="C9" i="14" s="1"/>
  <c r="C55" i="1"/>
  <c r="C53" i="1"/>
  <c r="G6" i="16"/>
  <c r="G8" i="16" s="1"/>
  <c r="G4" i="18"/>
  <c r="G11" i="18" s="1"/>
  <c r="G14" i="18" s="1"/>
  <c r="J6" i="16"/>
  <c r="J8" i="16" s="1"/>
  <c r="J4" i="18"/>
  <c r="J11" i="18" s="1"/>
  <c r="J14" i="18" s="1"/>
  <c r="K6" i="16"/>
  <c r="K8" i="16" s="1"/>
  <c r="K4" i="18"/>
  <c r="K11" i="18" s="1"/>
  <c r="K14" i="18" s="1"/>
  <c r="N6" i="16"/>
  <c r="N8" i="16" s="1"/>
  <c r="N4" i="18"/>
  <c r="N11" i="18" s="1"/>
  <c r="N14" i="18" s="1"/>
  <c r="I6" i="16"/>
  <c r="I8" i="16" s="1"/>
  <c r="I4" i="18"/>
  <c r="I11" i="18" s="1"/>
  <c r="I14" i="18" s="1"/>
  <c r="H6" i="16"/>
  <c r="H8" i="16" s="1"/>
  <c r="H4" i="18"/>
  <c r="H11" i="18" s="1"/>
  <c r="H14" i="18" s="1"/>
  <c r="F6" i="16"/>
  <c r="F8" i="16" s="1"/>
  <c r="F4" i="18"/>
  <c r="F11" i="18" s="1"/>
  <c r="F14" i="18" s="1"/>
  <c r="E15" i="18" s="1"/>
  <c r="E17" i="18" s="1"/>
  <c r="L6" i="16"/>
  <c r="L8" i="16" s="1"/>
  <c r="L4" i="18"/>
  <c r="L11" i="18" s="1"/>
  <c r="L14" i="18" s="1"/>
  <c r="M6" i="16"/>
  <c r="M8" i="16" s="1"/>
  <c r="M4" i="18"/>
  <c r="M11" i="18" s="1"/>
  <c r="M14" i="18" s="1"/>
  <c r="M20" i="1"/>
  <c r="E20" i="1"/>
  <c r="E34" i="1" s="1"/>
  <c r="G20" i="1"/>
  <c r="F20" i="1"/>
  <c r="J20" i="1"/>
  <c r="J34" i="1" s="1"/>
  <c r="H20" i="1"/>
  <c r="I20" i="1"/>
  <c r="K20" i="1"/>
  <c r="K34" i="1" s="1"/>
  <c r="L20" i="1"/>
  <c r="L34" i="1" s="1"/>
  <c r="C4" i="14" l="1"/>
  <c r="D49" i="1"/>
  <c r="D51" i="1" s="1"/>
  <c r="D52" i="1" s="1"/>
  <c r="D55" i="1" s="1"/>
  <c r="D49" i="34"/>
  <c r="D51" i="34" s="1"/>
  <c r="F21" i="1"/>
  <c r="G9" i="16" s="1"/>
  <c r="G11" i="16" s="1"/>
  <c r="F34" i="1"/>
  <c r="I21" i="1"/>
  <c r="J9" i="16" s="1"/>
  <c r="J11" i="16" s="1"/>
  <c r="I34" i="1"/>
  <c r="G34" i="1"/>
  <c r="G35" i="1" s="1"/>
  <c r="G36" i="1" s="1"/>
  <c r="G37" i="1" s="1"/>
  <c r="H34" i="1"/>
  <c r="M21" i="1"/>
  <c r="N9" i="16" s="1"/>
  <c r="N11" i="16" s="1"/>
  <c r="M34" i="1"/>
  <c r="K15" i="18"/>
  <c r="K17" i="18" s="1"/>
  <c r="G15" i="18"/>
  <c r="G17" i="18" s="1"/>
  <c r="I15" i="18"/>
  <c r="I17" i="18" s="1"/>
  <c r="H49" i="34" s="1"/>
  <c r="H51" i="34" s="1"/>
  <c r="L15" i="18"/>
  <c r="L17" i="18" s="1"/>
  <c r="H15" i="18"/>
  <c r="H17" i="18" s="1"/>
  <c r="J15" i="18"/>
  <c r="J17" i="18" s="1"/>
  <c r="F15" i="18"/>
  <c r="F17" i="18" s="1"/>
  <c r="N16" i="18"/>
  <c r="N17" i="18" s="1"/>
  <c r="M15" i="18"/>
  <c r="M17" i="18" s="1"/>
  <c r="C16" i="14"/>
  <c r="M18" i="14" s="1"/>
  <c r="H21" i="1"/>
  <c r="I9" i="16" s="1"/>
  <c r="I11" i="16" s="1"/>
  <c r="E35" i="1"/>
  <c r="E36" i="1" s="1"/>
  <c r="E37" i="1" s="1"/>
  <c r="L35" i="1"/>
  <c r="L36" i="1" s="1"/>
  <c r="J35" i="1"/>
  <c r="K35" i="1"/>
  <c r="K36" i="1" s="1"/>
  <c r="K37" i="1" s="1"/>
  <c r="E21" i="1"/>
  <c r="F9" i="16" s="1"/>
  <c r="F11" i="16" s="1"/>
  <c r="G21" i="1"/>
  <c r="J21" i="1"/>
  <c r="K21" i="1"/>
  <c r="L21" i="1"/>
  <c r="L49" i="1" l="1"/>
  <c r="L49" i="34"/>
  <c r="L51" i="34" s="1"/>
  <c r="J49" i="1"/>
  <c r="J49" i="34"/>
  <c r="J51" i="34" s="1"/>
  <c r="F49" i="1"/>
  <c r="F49" i="34"/>
  <c r="F51" i="34" s="1"/>
  <c r="E49" i="1"/>
  <c r="E49" i="34"/>
  <c r="E51" i="34" s="1"/>
  <c r="K49" i="1"/>
  <c r="K49" i="34"/>
  <c r="K51" i="34" s="1"/>
  <c r="D68" i="34"/>
  <c r="D52" i="34"/>
  <c r="G49" i="1"/>
  <c r="G49" i="34"/>
  <c r="G51" i="34" s="1"/>
  <c r="M49" i="1"/>
  <c r="M49" i="34"/>
  <c r="M51" i="34" s="1"/>
  <c r="I49" i="1"/>
  <c r="I49" i="34"/>
  <c r="I51" i="34" s="1"/>
  <c r="H52" i="34"/>
  <c r="H68" i="34"/>
  <c r="H49" i="1"/>
  <c r="H35" i="1"/>
  <c r="H36" i="1" s="1"/>
  <c r="D53" i="1"/>
  <c r="C21" i="14"/>
  <c r="C69" i="34" s="1"/>
  <c r="C70" i="34" s="1"/>
  <c r="D19" i="14"/>
  <c r="F35" i="1"/>
  <c r="F36" i="1" s="1"/>
  <c r="M35" i="1"/>
  <c r="L37" i="1"/>
  <c r="J36" i="1"/>
  <c r="J37" i="1" s="1"/>
  <c r="I35" i="1"/>
  <c r="I36" i="1" s="1"/>
  <c r="I37" i="1" s="1"/>
  <c r="I12" i="16"/>
  <c r="I14" i="16"/>
  <c r="I13" i="16" s="1"/>
  <c r="M9" i="16"/>
  <c r="M11" i="16" s="1"/>
  <c r="N12" i="16"/>
  <c r="N14" i="16"/>
  <c r="N13" i="16" s="1"/>
  <c r="H9" i="16"/>
  <c r="H11" i="16" s="1"/>
  <c r="K9" i="16"/>
  <c r="K11" i="16" s="1"/>
  <c r="L9" i="16"/>
  <c r="L11" i="16" s="1"/>
  <c r="G12" i="16"/>
  <c r="G14" i="16"/>
  <c r="G13" i="16" s="1"/>
  <c r="J12" i="16"/>
  <c r="J14" i="16"/>
  <c r="J13" i="16" s="1"/>
  <c r="F12" i="16"/>
  <c r="F14" i="16"/>
  <c r="F13" i="16" s="1"/>
  <c r="G44" i="1"/>
  <c r="G46" i="1" s="1"/>
  <c r="L44" i="1"/>
  <c r="L46" i="1" s="1"/>
  <c r="K44" i="1"/>
  <c r="K46" i="1" s="1"/>
  <c r="E44" i="1"/>
  <c r="E46" i="1" s="1"/>
  <c r="C61" i="34" l="1"/>
  <c r="D53" i="34"/>
  <c r="D55" i="34"/>
  <c r="J52" i="34"/>
  <c r="J68" i="34"/>
  <c r="G52" i="34"/>
  <c r="G68" i="34"/>
  <c r="K52" i="34"/>
  <c r="K68" i="34"/>
  <c r="F52" i="34"/>
  <c r="F68" i="34"/>
  <c r="L52" i="34"/>
  <c r="L68" i="34"/>
  <c r="M52" i="34"/>
  <c r="M68" i="34"/>
  <c r="E52" i="34"/>
  <c r="E68" i="34"/>
  <c r="I52" i="34"/>
  <c r="I68" i="34"/>
  <c r="D20" i="14"/>
  <c r="D21" i="14" s="1"/>
  <c r="D69" i="34" s="1"/>
  <c r="D70" i="34" s="1"/>
  <c r="D17" i="14"/>
  <c r="C71" i="34"/>
  <c r="H37" i="1"/>
  <c r="H44" i="1"/>
  <c r="H46" i="1" s="1"/>
  <c r="H51" i="1" s="1"/>
  <c r="H52" i="1" s="1"/>
  <c r="E51" i="1"/>
  <c r="E52" i="1" s="1"/>
  <c r="F44" i="1"/>
  <c r="F46" i="1" s="1"/>
  <c r="F51" i="1" s="1"/>
  <c r="F52" i="1" s="1"/>
  <c r="F37" i="1"/>
  <c r="K51" i="1"/>
  <c r="K52" i="1" s="1"/>
  <c r="G51" i="1"/>
  <c r="G52" i="1" s="1"/>
  <c r="J44" i="1"/>
  <c r="J46" i="1" s="1"/>
  <c r="L51" i="1"/>
  <c r="L52" i="1" s="1"/>
  <c r="M36" i="1"/>
  <c r="M44" i="1" s="1"/>
  <c r="M46" i="1" s="1"/>
  <c r="L12" i="16"/>
  <c r="L14" i="16"/>
  <c r="L13" i="16" s="1"/>
  <c r="K12" i="16"/>
  <c r="K14" i="16"/>
  <c r="K13" i="16" s="1"/>
  <c r="M12" i="16"/>
  <c r="M14" i="16"/>
  <c r="M13" i="16" s="1"/>
  <c r="H12" i="16"/>
  <c r="H14" i="16"/>
  <c r="H13" i="16" s="1"/>
  <c r="I44" i="1"/>
  <c r="I46" i="1" s="1"/>
  <c r="E53" i="34" l="1"/>
  <c r="F53" i="34" s="1"/>
  <c r="G53" i="34" s="1"/>
  <c r="H53" i="34" s="1"/>
  <c r="M55" i="34"/>
  <c r="L55" i="34"/>
  <c r="E55" i="34"/>
  <c r="H55" i="34"/>
  <c r="J55" i="34"/>
  <c r="C59" i="34"/>
  <c r="I55" i="34"/>
  <c r="G55" i="34"/>
  <c r="F55" i="34"/>
  <c r="K55" i="34"/>
  <c r="D71" i="34"/>
  <c r="D74" i="34" s="1"/>
  <c r="C74" i="34"/>
  <c r="C72" i="34"/>
  <c r="D16" i="14"/>
  <c r="M51" i="1"/>
  <c r="M52" i="1" s="1"/>
  <c r="J51" i="1"/>
  <c r="J52" i="1" s="1"/>
  <c r="M37" i="1"/>
  <c r="I51" i="1"/>
  <c r="I52" i="1" s="1"/>
  <c r="E53" i="1"/>
  <c r="F53" i="1" s="1"/>
  <c r="E55" i="1"/>
  <c r="G55" i="1"/>
  <c r="F55" i="1"/>
  <c r="H55" i="1"/>
  <c r="I53" i="34" l="1"/>
  <c r="D72" i="34"/>
  <c r="E19" i="14"/>
  <c r="E17" i="14" s="1"/>
  <c r="C61" i="1"/>
  <c r="K55" i="1"/>
  <c r="I55" i="1"/>
  <c r="L55" i="1"/>
  <c r="M55" i="1"/>
  <c r="J55" i="1"/>
  <c r="G53" i="1"/>
  <c r="H53" i="1" s="1"/>
  <c r="I53" i="1" s="1"/>
  <c r="C63" i="1" s="1"/>
  <c r="C59" i="1"/>
  <c r="J53" i="34" l="1"/>
  <c r="K53" i="34" s="1"/>
  <c r="L53" i="34" s="1"/>
  <c r="M53" i="34" s="1"/>
  <c r="C63" i="34"/>
  <c r="E20" i="14"/>
  <c r="J53" i="1"/>
  <c r="E21" i="14" l="1"/>
  <c r="E69" i="34" s="1"/>
  <c r="E70" i="34" s="1"/>
  <c r="E16" i="14"/>
  <c r="K53" i="1"/>
  <c r="E71" i="34" l="1"/>
  <c r="L53" i="1"/>
  <c r="M53" i="1" s="1"/>
  <c r="F19" i="14"/>
  <c r="F17" i="14" s="1"/>
  <c r="E72" i="34" l="1"/>
  <c r="E74" i="34"/>
  <c r="F20" i="14"/>
  <c r="F21" i="14" l="1"/>
  <c r="F69" i="34" s="1"/>
  <c r="F70" i="34" s="1"/>
  <c r="F16" i="14"/>
  <c r="F71" i="34" l="1"/>
  <c r="G19" i="14"/>
  <c r="G17" i="14" s="1"/>
  <c r="F72" i="34" l="1"/>
  <c r="F74" i="34"/>
  <c r="G20" i="14"/>
  <c r="G21" i="14" l="1"/>
  <c r="G69" i="34" s="1"/>
  <c r="G70" i="34" s="1"/>
  <c r="G16" i="14"/>
  <c r="H19" i="14" s="1"/>
  <c r="H17" i="14" s="1"/>
  <c r="G71" i="34" l="1"/>
  <c r="H20" i="14"/>
  <c r="G72" i="34" l="1"/>
  <c r="G74" i="34"/>
  <c r="H16" i="14"/>
  <c r="H21" i="14"/>
  <c r="H69" i="34" s="1"/>
  <c r="H70" i="34" s="1"/>
  <c r="H71" i="34" l="1"/>
  <c r="I19" i="14"/>
  <c r="I17" i="14" s="1"/>
  <c r="H72" i="34" l="1"/>
  <c r="H74" i="34"/>
  <c r="I20" i="14"/>
  <c r="I21" i="14" l="1"/>
  <c r="I69" i="34" s="1"/>
  <c r="I70" i="34" s="1"/>
  <c r="I16" i="14"/>
  <c r="I71" i="34" l="1"/>
  <c r="C82" i="34" s="1"/>
  <c r="J19" i="14"/>
  <c r="J17" i="14" s="1"/>
  <c r="I72" i="34" l="1"/>
  <c r="I74" i="34"/>
  <c r="J20" i="14"/>
  <c r="J21" i="14" l="1"/>
  <c r="J69" i="34" s="1"/>
  <c r="J70" i="34" s="1"/>
  <c r="J71" i="34" s="1"/>
  <c r="J16" i="14"/>
  <c r="J72" i="34" l="1"/>
  <c r="J74" i="34"/>
  <c r="K19" i="14"/>
  <c r="K17" i="14" s="1"/>
  <c r="K20" i="14" l="1"/>
  <c r="K21" i="14" l="1"/>
  <c r="K69" i="34" s="1"/>
  <c r="K70" i="34" s="1"/>
  <c r="K71" i="34" s="1"/>
  <c r="K74" i="34" s="1"/>
  <c r="K16" i="14"/>
  <c r="K72" i="34" l="1"/>
  <c r="L19" i="14"/>
  <c r="L17" i="14" s="1"/>
  <c r="L20" i="14" l="1"/>
  <c r="L21" i="14" l="1"/>
  <c r="L69" i="34" s="1"/>
  <c r="L70" i="34" s="1"/>
  <c r="L71" i="34" s="1"/>
  <c r="L16" i="14"/>
  <c r="L72" i="34" l="1"/>
  <c r="L74" i="34"/>
  <c r="M19" i="14"/>
  <c r="M17" i="14" s="1"/>
  <c r="M20" i="14" l="1"/>
  <c r="M21" i="14" l="1"/>
  <c r="M69" i="34" s="1"/>
  <c r="M70" i="34" s="1"/>
  <c r="M16" i="14"/>
  <c r="M71" i="34" l="1"/>
  <c r="C80" i="34"/>
  <c r="M72" i="34" l="1"/>
  <c r="M74" i="34"/>
  <c r="C78" i="34"/>
</calcChain>
</file>

<file path=xl/comments1.xml><?xml version="1.0" encoding="utf-8"?>
<comments xmlns="http://schemas.openxmlformats.org/spreadsheetml/2006/main">
  <authors>
    <author>Nathaly Gutierrez Cabrera</author>
  </authors>
  <commentList>
    <comment ref="S4" authorId="0">
      <text>
        <r>
          <rPr>
            <b/>
            <sz val="9"/>
            <color indexed="81"/>
            <rFont val="Tahoma"/>
            <family val="2"/>
          </rPr>
          <t>PROFILE:</t>
        </r>
        <r>
          <rPr>
            <sz val="9"/>
            <color indexed="81"/>
            <rFont val="Tahoma"/>
            <family val="2"/>
          </rPr>
          <t xml:space="preserve">
IR ES 30% DE BENEFICIO NETO</t>
        </r>
      </text>
    </comment>
  </commentList>
</comments>
</file>

<file path=xl/comments2.xml><?xml version="1.0" encoding="utf-8"?>
<comments xmlns="http://schemas.openxmlformats.org/spreadsheetml/2006/main">
  <authors>
    <author>LUISA</author>
  </authors>
  <commentList>
    <comment ref="E5" authorId="0">
      <text>
        <r>
          <rPr>
            <b/>
            <sz val="9"/>
            <color indexed="81"/>
            <rFont val="Tahoma"/>
            <family val="2"/>
          </rPr>
          <t>PROFILE:</t>
        </r>
        <r>
          <rPr>
            <sz val="9"/>
            <color indexed="81"/>
            <rFont val="Tahoma"/>
            <family val="2"/>
          </rPr>
          <t xml:space="preserve">
Promedio desde 01 /01/ 16 a 19/ 09/ 16.</t>
        </r>
      </text>
    </comment>
    <comment ref="E7" authorId="0">
      <text>
        <r>
          <rPr>
            <b/>
            <sz val="9"/>
            <color indexed="81"/>
            <rFont val="Tahoma"/>
            <family val="2"/>
          </rPr>
          <t xml:space="preserve">PROFILE:
</t>
        </r>
        <r>
          <rPr>
            <sz val="9"/>
            <color indexed="81"/>
            <rFont val="Tahoma"/>
            <family val="2"/>
          </rPr>
          <t xml:space="preserve">Promedio desde 01/01/16 a 19/09/16.
</t>
        </r>
      </text>
    </comment>
  </commentList>
</comments>
</file>

<file path=xl/comments3.xml><?xml version="1.0" encoding="utf-8"?>
<comments xmlns="http://schemas.openxmlformats.org/spreadsheetml/2006/main">
  <authors>
    <author>Maritza</author>
  </authors>
  <commentList>
    <comment ref="F2" authorId="0">
      <text>
        <r>
          <rPr>
            <b/>
            <sz val="9"/>
            <color indexed="81"/>
            <rFont val="Tahoma"/>
            <family val="2"/>
          </rPr>
          <t>PROFILE:</t>
        </r>
        <r>
          <rPr>
            <sz val="9"/>
            <color indexed="81"/>
            <rFont val="Tahoma"/>
            <family val="2"/>
          </rPr>
          <t xml:space="preserve">
CONSTARÁ DE CITAS QUINCENALES PARA LA ELABORACION DE UN PLAN NUTRICIONAL</t>
        </r>
      </text>
    </comment>
  </commentList>
</comments>
</file>

<file path=xl/comments4.xml><?xml version="1.0" encoding="utf-8"?>
<comments xmlns="http://schemas.openxmlformats.org/spreadsheetml/2006/main">
  <authors>
    <author>Maritza</author>
    <author>LUISA</author>
    <author/>
  </authors>
  <commentList>
    <comment ref="B67" authorId="0">
      <text>
        <r>
          <rPr>
            <b/>
            <sz val="9"/>
            <color indexed="81"/>
            <rFont val="Times New Roman"/>
            <family val="1"/>
          </rPr>
          <t>Profile:</t>
        </r>
        <r>
          <rPr>
            <sz val="9"/>
            <color indexed="81"/>
            <rFont val="Times New Roman"/>
            <family val="1"/>
          </rPr>
          <t xml:space="preserve">
VARIABLE DE ACUERDO A LA PROYECCION DEL PERSONAL
</t>
        </r>
      </text>
    </comment>
    <comment ref="B203" authorId="1">
      <text>
        <r>
          <rPr>
            <b/>
            <sz val="9"/>
            <color indexed="81"/>
            <rFont val="Tahoma"/>
            <family val="2"/>
          </rPr>
          <t xml:space="preserve">PROFILE:
</t>
        </r>
        <r>
          <rPr>
            <sz val="9"/>
            <color indexed="81"/>
            <rFont val="Tahoma"/>
            <family val="2"/>
          </rPr>
          <t xml:space="preserve">Incluido en costos de RR.HH.
</t>
        </r>
      </text>
    </comment>
    <comment ref="B209" authorId="1">
      <text>
        <r>
          <rPr>
            <b/>
            <sz val="9"/>
            <color indexed="81"/>
            <rFont val="Tahoma"/>
            <family val="2"/>
          </rPr>
          <t xml:space="preserve">Profile: </t>
        </r>
        <r>
          <rPr>
            <sz val="9"/>
            <color indexed="81"/>
            <rFont val="Tahoma"/>
            <family val="2"/>
          </rPr>
          <t xml:space="preserve">A partir del segundo año. Se considera pre-operativo.
</t>
        </r>
      </text>
    </comment>
    <comment ref="B210" authorId="1">
      <text>
        <r>
          <rPr>
            <b/>
            <sz val="9"/>
            <color indexed="81"/>
            <rFont val="Tahoma"/>
            <family val="2"/>
          </rPr>
          <t xml:space="preserve">Profile: </t>
        </r>
        <r>
          <rPr>
            <sz val="9"/>
            <color indexed="81"/>
            <rFont val="Tahoma"/>
            <family val="2"/>
          </rPr>
          <t xml:space="preserve">A partir del segundo año. Se considera pre-operativo.
</t>
        </r>
      </text>
    </comment>
    <comment ref="O211" authorId="1">
      <text>
        <r>
          <rPr>
            <b/>
            <sz val="9"/>
            <color indexed="81"/>
            <rFont val="Times New Roman"/>
            <family val="1"/>
          </rPr>
          <t xml:space="preserve">Profile: </t>
        </r>
        <r>
          <rPr>
            <sz val="9"/>
            <color indexed="81"/>
            <rFont val="Times New Roman"/>
            <family val="1"/>
          </rPr>
          <t>A partir del segundo año.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15" authorId="1">
      <text>
        <r>
          <rPr>
            <b/>
            <sz val="9"/>
            <color indexed="81"/>
            <rFont val="Tahoma"/>
            <family val="2"/>
          </rPr>
          <t xml:space="preserve">Profile: </t>
        </r>
        <r>
          <rPr>
            <sz val="9"/>
            <color indexed="81"/>
            <rFont val="Tahoma"/>
            <family val="2"/>
          </rPr>
          <t xml:space="preserve">A partir del segundo año. Se considera pre-operativo.
</t>
        </r>
      </text>
    </comment>
    <comment ref="B216" authorId="1">
      <text>
        <r>
          <rPr>
            <b/>
            <sz val="9"/>
            <color indexed="81"/>
            <rFont val="Tahoma"/>
            <family val="2"/>
          </rPr>
          <t xml:space="preserve">Profile: </t>
        </r>
        <r>
          <rPr>
            <sz val="9"/>
            <color indexed="81"/>
            <rFont val="Tahoma"/>
            <family val="2"/>
          </rPr>
          <t xml:space="preserve">A partir del segundo año. Se considera pre-operativo.
</t>
        </r>
      </text>
    </comment>
    <comment ref="D229" authorId="2">
      <text>
        <r>
          <rPr>
            <sz val="10"/>
            <color rgb="FF000000"/>
            <rFont val="Arial"/>
            <family val="2"/>
          </rPr>
          <t xml:space="preserve">A partir del segundo año.
</t>
        </r>
      </text>
    </comment>
  </commentList>
</comments>
</file>

<file path=xl/comments5.xml><?xml version="1.0" encoding="utf-8"?>
<comments xmlns="http://schemas.openxmlformats.org/spreadsheetml/2006/main">
  <authors>
    <author>LUISA</author>
  </authors>
  <commentList>
    <comment ref="B36" authorId="0">
      <text>
        <r>
          <rPr>
            <b/>
            <sz val="9"/>
            <color indexed="81"/>
            <rFont val="Tahoma"/>
            <family val="2"/>
          </rPr>
          <t>Profile:</t>
        </r>
        <r>
          <rPr>
            <sz val="9"/>
            <color indexed="81"/>
            <rFont val="Tahoma"/>
            <family val="2"/>
          </rPr>
          <t xml:space="preserve">
Considerado en costos variables.</t>
        </r>
      </text>
    </comment>
  </commentList>
</comments>
</file>

<file path=xl/sharedStrings.xml><?xml version="1.0" encoding="utf-8"?>
<sst xmlns="http://schemas.openxmlformats.org/spreadsheetml/2006/main" count="4282" uniqueCount="709">
  <si>
    <t>Mes 1</t>
  </si>
  <si>
    <t>Mes 2</t>
  </si>
  <si>
    <t>Año 1</t>
  </si>
  <si>
    <t>Concesiones</t>
  </si>
  <si>
    <t>Comisiones de venta</t>
  </si>
  <si>
    <t>GASTOS FIJOS</t>
  </si>
  <si>
    <t>Alquileres</t>
  </si>
  <si>
    <t>Otros gastos operativos</t>
  </si>
  <si>
    <t>Depreciación y amortización</t>
  </si>
  <si>
    <t>IR</t>
  </si>
  <si>
    <t>UTILIDAD NETA S/.</t>
  </si>
  <si>
    <t>UTILIDAD NETA %</t>
  </si>
  <si>
    <t>FLUJO DE CAJA OPERATIVO</t>
  </si>
  <si>
    <t>Año 0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</si>
  <si>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</si>
  <si>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</si>
  <si>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</si>
  <si>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</si>
  <si>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</si>
  <si>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</si>
  <si>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</si>
  <si>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</si>
  <si>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</si>
  <si>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Inversión activos fijos</t>
  </si>
  <si>
    <t>Inversión pre-operativos</t>
  </si>
  <si>
    <t>FLUJO DE CAJA DESCONTADO</t>
  </si>
  <si>
    <t>FLUJO ACUMULADO</t>
  </si>
  <si>
    <t>Afiliaciones</t>
  </si>
  <si>
    <t>Renovaciones</t>
  </si>
  <si>
    <t>ESTADO DE GANANCIAS Y PERDIDAS</t>
  </si>
  <si>
    <t>VENTAS</t>
  </si>
  <si>
    <t>COSTO VARIABLES</t>
  </si>
  <si>
    <t>Comisiones Visa / MasterCard</t>
  </si>
  <si>
    <t>MARGEN DE CONTRIBUCION</t>
  </si>
  <si>
    <t>Tercerizado-Servicios</t>
  </si>
  <si>
    <t>Mantenimiento - Activo Fijo</t>
  </si>
  <si>
    <t>FLUJO DE CAJA</t>
  </si>
  <si>
    <t>AÑO 0</t>
  </si>
  <si>
    <t>AÑO 1</t>
  </si>
  <si>
    <t>FLUJO DE CAJA ECONOMICO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</si>
  <si>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</si>
  <si>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</si>
  <si>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</si>
  <si>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</si>
  <si>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</si>
  <si>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</si>
  <si>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</si>
  <si>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</si>
  <si>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</si>
  <si>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</si>
  <si>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</si>
  <si>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</si>
  <si>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</si>
  <si>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</si>
  <si>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</si>
  <si>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</si>
  <si>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</si>
  <si>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</si>
  <si>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</si>
  <si>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UTILIDAD ANTES DE IMPUESTOS</t>
  </si>
  <si>
    <t>Impuesto a la Renta</t>
  </si>
  <si>
    <t>UTILIDAD NETA</t>
  </si>
  <si>
    <t>VALOR  PRESENTE NETO</t>
  </si>
  <si>
    <t>TASA INTERNA DE RETORNO</t>
  </si>
  <si>
    <t>RETORNO DE INVERSIÓN</t>
  </si>
  <si>
    <t>EN SOLES</t>
  </si>
  <si>
    <t>PROYECCION A 10 AÑOS</t>
  </si>
  <si>
    <t>m2</t>
  </si>
  <si>
    <t>Afiliadas</t>
  </si>
  <si>
    <t>Espacios</t>
  </si>
  <si>
    <t>Total m2</t>
  </si>
  <si>
    <t>Total Mensual</t>
  </si>
  <si>
    <t>Total Anual</t>
  </si>
  <si>
    <t>Cafetería</t>
  </si>
  <si>
    <t>Área de Masajes</t>
  </si>
  <si>
    <t>Alquiler Mensual</t>
  </si>
  <si>
    <t>Afiliadas según la estacionalidad</t>
  </si>
  <si>
    <t>Flujo mensual de afiliadas Año 1</t>
  </si>
  <si>
    <t xml:space="preserve">Número de afiliadas </t>
  </si>
  <si>
    <t>Flujo mensual de afiliadas Año 2</t>
  </si>
  <si>
    <t>Crecimiento año 2:</t>
  </si>
  <si>
    <t>Flujo mensual de afiliadas Año 3</t>
  </si>
  <si>
    <t>Crecimiento año 3:</t>
  </si>
  <si>
    <t>Flujo mensual de afiliadas Año 4</t>
  </si>
  <si>
    <t>Crecimiento año 4:</t>
  </si>
  <si>
    <t>Flujo mensual de afiliadas Año 5</t>
  </si>
  <si>
    <t>Crecimiento año 5:</t>
  </si>
  <si>
    <t>Flujo mensual de afiliadas Año 6</t>
  </si>
  <si>
    <t>Crecimiento año 6:</t>
  </si>
  <si>
    <t>Flujo mensual de afiliadas Año 7</t>
  </si>
  <si>
    <t>Crecimiento año 7:</t>
  </si>
  <si>
    <t>Flujo mensual de afiliadas Año 8</t>
  </si>
  <si>
    <t>Crecimiento año 8:</t>
  </si>
  <si>
    <t>Flujo mensual de afiliadas Año 9</t>
  </si>
  <si>
    <t>Crecimiento año 9:</t>
  </si>
  <si>
    <t>Flujo mensual de afiliadas Año 10</t>
  </si>
  <si>
    <t>Crecimiento año 10: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</si>
  <si>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</si>
  <si>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</si>
  <si>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</si>
  <si>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</si>
  <si>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</si>
  <si>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</si>
  <si>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</si>
  <si>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</si>
  <si>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</si>
  <si>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</si>
  <si>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</si>
  <si>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</si>
  <si>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Paquetes</t>
  </si>
  <si>
    <t>Porcentaje</t>
  </si>
  <si>
    <t>DESAFIATE</t>
  </si>
  <si>
    <t>RETO 180</t>
  </si>
  <si>
    <t xml:space="preserve">Renovaciones </t>
  </si>
  <si>
    <t>TOTAL</t>
  </si>
  <si>
    <t>Cantidad de inscritas mensualmente</t>
  </si>
  <si>
    <t>Inscripciones Vendidas</t>
  </si>
  <si>
    <t>Nuevas</t>
  </si>
  <si>
    <t>SUSCRIPCIONES NETAS PROYECCIÓN 10 AÑOS</t>
  </si>
  <si>
    <t>RENOVACIONES DE DESAFIATE</t>
  </si>
  <si>
    <t>Total de suscripciones vendidas</t>
  </si>
  <si>
    <t>Sem</t>
  </si>
  <si>
    <t>DESAFIATE (RENOVACION)</t>
  </si>
  <si>
    <t>Trim</t>
  </si>
  <si>
    <t>Ingresos por inscripciones vendidas</t>
  </si>
  <si>
    <t>Trimestral</t>
  </si>
  <si>
    <t>Semestral</t>
  </si>
  <si>
    <t>RENOV DESAFIATE</t>
  </si>
  <si>
    <t>RENOV. DESAFIATE</t>
  </si>
  <si>
    <t>COMISIONES DE VENTA</t>
  </si>
  <si>
    <t>PROGRAMA</t>
  </si>
  <si>
    <t>Comisión</t>
  </si>
  <si>
    <t>RENOVACION DESAFIATE</t>
  </si>
  <si>
    <t>SIN IGV</t>
  </si>
  <si>
    <t>COMISIÓN VISA/ MASTERCARD</t>
  </si>
  <si>
    <t>Año  6</t>
  </si>
  <si>
    <t>Año  7</t>
  </si>
  <si>
    <t>Año  8</t>
  </si>
  <si>
    <t>Año  9</t>
  </si>
  <si>
    <t>Año  10</t>
  </si>
  <si>
    <t>Año  11</t>
  </si>
  <si>
    <t>Concepto</t>
  </si>
  <si>
    <t>Proporción</t>
  </si>
  <si>
    <t>Pago con Tarjeta de Débito</t>
  </si>
  <si>
    <t>Pago con Tarjeta de Crédito</t>
  </si>
  <si>
    <t>CON IGV</t>
  </si>
  <si>
    <t>COMISIONES   DE POS</t>
  </si>
  <si>
    <t>COSTO DE VENTA</t>
  </si>
  <si>
    <t>Regalos de Bienvenida</t>
  </si>
  <si>
    <t xml:space="preserve"> PLANES NUTRICIONALES</t>
  </si>
  <si>
    <t>Precio sin IGV</t>
  </si>
  <si>
    <t>Precio con IGV</t>
  </si>
  <si>
    <t>Inscripción</t>
  </si>
  <si>
    <t>CITAS CON ENDROCINOLOGO</t>
  </si>
  <si>
    <t>Detalle</t>
  </si>
  <si>
    <t>Mensual</t>
  </si>
  <si>
    <t>Endocrinólogo</t>
  </si>
  <si>
    <t>Cant. Máx de personas que son atendidas mensual</t>
  </si>
  <si>
    <t>Precio por hora sin IGV</t>
  </si>
  <si>
    <t>CITAS CON PSICÓLOGO</t>
  </si>
  <si>
    <t>Año 2-10</t>
  </si>
  <si>
    <t>RESUMEN</t>
  </si>
  <si>
    <t>Planes Nut.</t>
  </si>
  <si>
    <t>Endoc.</t>
  </si>
  <si>
    <t>Psicólogo</t>
  </si>
  <si>
    <t>ALQUILERES Y OTROS GASTOS OPERATIVOS</t>
  </si>
  <si>
    <t>Alquiler</t>
  </si>
  <si>
    <t>COSTO MENSUAL</t>
  </si>
  <si>
    <t>VARIADO</t>
  </si>
  <si>
    <t>Q</t>
  </si>
  <si>
    <t>C.U sin IGV</t>
  </si>
  <si>
    <t>M2</t>
  </si>
  <si>
    <t>cada</t>
  </si>
  <si>
    <t>1 mes</t>
  </si>
  <si>
    <t>UNIDAD</t>
  </si>
  <si>
    <t>OTROS GASTOS OPERATIVOS</t>
  </si>
  <si>
    <t>COSTO AÑO 1</t>
  </si>
  <si>
    <t>A) Servicios</t>
  </si>
  <si>
    <t>Descripción</t>
  </si>
  <si>
    <t>Total anual</t>
  </si>
  <si>
    <t>Frecuencia</t>
  </si>
  <si>
    <t>Pago de agua</t>
  </si>
  <si>
    <t>sedapal</t>
  </si>
  <si>
    <t>servicio</t>
  </si>
  <si>
    <t>Pago de luz</t>
  </si>
  <si>
    <t>Pago mensual de POS (Visa y Master Card)</t>
  </si>
  <si>
    <t>visa y mastercard</t>
  </si>
  <si>
    <t xml:space="preserve">1 mes </t>
  </si>
  <si>
    <t>Pago de teléfono Fijo , cable e Internet</t>
  </si>
  <si>
    <t>telefonica</t>
  </si>
  <si>
    <t>Servicio de Telefonía Celular</t>
  </si>
  <si>
    <t>movistar</t>
  </si>
  <si>
    <t>B) Materiales</t>
  </si>
  <si>
    <t>C.T  sin IGV</t>
  </si>
  <si>
    <t>Engrapador</t>
  </si>
  <si>
    <t>OFICENTRO</t>
  </si>
  <si>
    <t>12 meses</t>
  </si>
  <si>
    <t>Perforador</t>
  </si>
  <si>
    <t>Grapas (5000 UND)</t>
  </si>
  <si>
    <t>3 meses</t>
  </si>
  <si>
    <t>Clips (100 UND)</t>
  </si>
  <si>
    <t>Papel fotocopia 75 GR. A-4</t>
  </si>
  <si>
    <t>Resaltadores</t>
  </si>
  <si>
    <t>6 meses</t>
  </si>
  <si>
    <t xml:space="preserve">Lapiz de grafito 2-B </t>
  </si>
  <si>
    <t xml:space="preserve">Boligrafo Lux-035 P/Fina azul </t>
  </si>
  <si>
    <t>Notas Post-it (PQT x 12)</t>
  </si>
  <si>
    <t>Pioner C/Mica 2" A-4</t>
  </si>
  <si>
    <t xml:space="preserve">Borrador Blanco </t>
  </si>
  <si>
    <t>4 meses</t>
  </si>
  <si>
    <t xml:space="preserve">Tajadores </t>
  </si>
  <si>
    <t>Cuadernos A4 (80 hojas)</t>
  </si>
  <si>
    <t>Sobre manila A-4 x 50 unidades</t>
  </si>
  <si>
    <t>Folder manila A-4 x 25 unidades</t>
  </si>
  <si>
    <t>C) Limpieza y accesorios</t>
  </si>
  <si>
    <t xml:space="preserve">Papel higiénico Elite 8 unid. x 80 m </t>
  </si>
  <si>
    <t>Daryza S.A.C.</t>
  </si>
  <si>
    <t>Paquete</t>
  </si>
  <si>
    <t>Desinfectante x 5 litros</t>
  </si>
  <si>
    <t>Galones</t>
  </si>
  <si>
    <t>Guantes x 100 unidades</t>
  </si>
  <si>
    <t>Caja</t>
  </si>
  <si>
    <t>3 mes</t>
  </si>
  <si>
    <t>Jabón líquido para manos X 1 galon</t>
  </si>
  <si>
    <t>galon</t>
  </si>
  <si>
    <t>Desatoradores</t>
  </si>
  <si>
    <t>unidad</t>
  </si>
  <si>
    <t>Tacho  11.9 L</t>
  </si>
  <si>
    <t>Tachos de basura para diversos ambientes</t>
  </si>
  <si>
    <t xml:space="preserve">Bolsas de Basura 35 Lt x 30 und </t>
  </si>
  <si>
    <t>paquetes</t>
  </si>
  <si>
    <t>Detergente Ace x 15kg</t>
  </si>
  <si>
    <t>Lejía x 3 Lt</t>
  </si>
  <si>
    <t>Papel toalla 200 mt x 3 unidades</t>
  </si>
  <si>
    <t>Paños x 20 unidades</t>
  </si>
  <si>
    <t>Trapeador</t>
  </si>
  <si>
    <t>Escoba</t>
  </si>
  <si>
    <t>Recogedor de basura</t>
  </si>
  <si>
    <t>Dispensador de papel higienico</t>
  </si>
  <si>
    <t xml:space="preserve">12 meses  </t>
  </si>
  <si>
    <t>Dispensador de jabon liquido</t>
  </si>
  <si>
    <t>Escobilla para limpieza de baño</t>
  </si>
  <si>
    <t>Polo Incluye Logo  (entrenadores)</t>
  </si>
  <si>
    <t>Prendas</t>
  </si>
  <si>
    <t>Pantalón de Buzo (entrenadores)</t>
  </si>
  <si>
    <t>Short Incluye Logo (entrenadores)</t>
  </si>
  <si>
    <t>GASTOS DEL PERSONAL</t>
  </si>
  <si>
    <t>RRHH: CONTRATOS Y CONVENIOS</t>
  </si>
  <si>
    <t>Personal</t>
  </si>
  <si>
    <t>TIPO</t>
  </si>
  <si>
    <t>PAGO NETO UNIT</t>
  </si>
  <si>
    <t>PAGO BRUTO</t>
  </si>
  <si>
    <t>PAGO BRUTO UNIT</t>
  </si>
  <si>
    <t>Gerente</t>
  </si>
  <si>
    <t>Salario Fijo</t>
  </si>
  <si>
    <t>Asistente de Gerencia</t>
  </si>
  <si>
    <t>Salario Fijo/Full Time</t>
  </si>
  <si>
    <t>Recepcionistas</t>
  </si>
  <si>
    <t>Salario Fijo/ Full Time</t>
  </si>
  <si>
    <t>Ejecutivo de Venta</t>
  </si>
  <si>
    <t>salario Mixto Fijo/ Full Time</t>
  </si>
  <si>
    <t>salario Mixto Fijo/Part Time</t>
  </si>
  <si>
    <t>Jefe entrenador</t>
  </si>
  <si>
    <t>Entrenador</t>
  </si>
  <si>
    <t>salario fijo/Full Time</t>
  </si>
  <si>
    <t>Salario Fijo/ Part Time</t>
  </si>
  <si>
    <t>Nutricionista</t>
  </si>
  <si>
    <t>Salario Fijo/Part Time</t>
  </si>
  <si>
    <t>Psicologo</t>
  </si>
  <si>
    <t>1 Tiempo Completo</t>
  </si>
  <si>
    <t>Gratificación</t>
  </si>
  <si>
    <t>CTS</t>
  </si>
  <si>
    <t>EsSalud</t>
  </si>
  <si>
    <t>Total</t>
  </si>
  <si>
    <t>2 Tiempo Completo</t>
  </si>
  <si>
    <t>Salario fijo</t>
  </si>
  <si>
    <t>Salario total</t>
  </si>
  <si>
    <t>Total sin comisiones de ventas</t>
  </si>
  <si>
    <t>1 Tiempo Parcial</t>
  </si>
  <si>
    <t>2 Tiempo Parcial</t>
  </si>
  <si>
    <t>RRHH: TERCERIZADO - SERVICIOS</t>
  </si>
  <si>
    <t>Horas semanales</t>
  </si>
  <si>
    <t>Pago Bruto Mensual (s/.)</t>
  </si>
  <si>
    <t>Pago Bruto Total  Mensual (s/.)</t>
  </si>
  <si>
    <t>Pago Bruto Anual (s/.)</t>
  </si>
  <si>
    <t>-</t>
  </si>
  <si>
    <t>Servicio de Limpieza</t>
  </si>
  <si>
    <t>Asesoría Contable</t>
  </si>
  <si>
    <t>Valet parking</t>
  </si>
  <si>
    <t>RRHH: TERCERIZADO</t>
  </si>
  <si>
    <t>PERSONAL</t>
  </si>
  <si>
    <t>Hrs ofertadas a la semana</t>
  </si>
  <si>
    <t>Costo por Hora</t>
  </si>
  <si>
    <t>Costo por persona</t>
  </si>
  <si>
    <t>Costo total</t>
  </si>
  <si>
    <t>Curso Fitness y entrenamiento personal</t>
  </si>
  <si>
    <t>Conferencia Latinoamerica y Exposición Comercial IHRSA</t>
  </si>
  <si>
    <t>Curso para instructores de gimnasio</t>
  </si>
  <si>
    <t>Taller de Liderazgo</t>
  </si>
  <si>
    <t>Curso de técnicas de ventas</t>
  </si>
  <si>
    <t>Fisioterapeuta Nopain</t>
  </si>
  <si>
    <t>Ejecución</t>
  </si>
  <si>
    <t>Celebración fin de año</t>
  </si>
  <si>
    <t>Evento y premiacion</t>
  </si>
  <si>
    <t>Aniversario de Profile</t>
  </si>
  <si>
    <t xml:space="preserve"> Evento de integracion</t>
  </si>
  <si>
    <t>Cantidad</t>
  </si>
  <si>
    <t>Costo unitario</t>
  </si>
  <si>
    <t>Bonos por cumplimiento de objetivo</t>
  </si>
  <si>
    <t>Bonos por buen desempeño</t>
  </si>
  <si>
    <t>GASTOS DE MARKETING</t>
  </si>
  <si>
    <t>3.1 MARKETING: MANTENIMIENTO</t>
  </si>
  <si>
    <t>COSTO ANUAL</t>
  </si>
  <si>
    <t>Costo sin IGV</t>
  </si>
  <si>
    <t>Hosting pagina web</t>
  </si>
  <si>
    <t>3.2 MARKETING: FIDELIZACIÓN</t>
  </si>
  <si>
    <t>Empresa</t>
  </si>
  <si>
    <t>Q unitario</t>
  </si>
  <si>
    <t>Costo Total sin IGV</t>
  </si>
  <si>
    <t>Aniversario Profile:</t>
  </si>
  <si>
    <t>Sorteo 3 canasta de produtos orgánicos</t>
  </si>
  <si>
    <t>NATURALSTORE</t>
  </si>
  <si>
    <t>anual</t>
  </si>
  <si>
    <t>Servicio Dj</t>
  </si>
  <si>
    <t>AYMA SONIDOS Y LUCES</t>
  </si>
  <si>
    <t>Comida saludable</t>
  </si>
  <si>
    <t>SANAMAQUINA</t>
  </si>
  <si>
    <t>Celebracion dias especiales:</t>
  </si>
  <si>
    <t>Dia de la madre - Canasta de produtos orgánicos</t>
  </si>
  <si>
    <t>Dia de la madre - Decoración</t>
  </si>
  <si>
    <t>Dia de la mujer - Canasta de produtos orgánicos</t>
  </si>
  <si>
    <t>Dia de la mujer - Decoración</t>
  </si>
  <si>
    <t>Vida fiscal</t>
  </si>
  <si>
    <t>Valor contable al año de venta</t>
  </si>
  <si>
    <t>% de reventa</t>
  </si>
  <si>
    <t>Valor de Reventa</t>
  </si>
  <si>
    <t>Beneficio neto</t>
  </si>
  <si>
    <t>Bicicleta estacionaria</t>
  </si>
  <si>
    <t>años</t>
  </si>
  <si>
    <t>meses</t>
  </si>
  <si>
    <t>Cinta - caminadora</t>
  </si>
  <si>
    <t>Elíptica</t>
  </si>
  <si>
    <t>Abdominales / Abdominal (95 kg)</t>
  </si>
  <si>
    <t>Biceps (71 kg)</t>
  </si>
  <si>
    <t>Pecho y triceps / Chest and Triceps (95 kg)</t>
  </si>
  <si>
    <t>Press de pecho inclinado / Incline Chest Press (95 kg)</t>
  </si>
  <si>
    <t>Aperturas y deltoides / Pec Fly and Rear Delt (95 kg)</t>
  </si>
  <si>
    <t>Sentadillas y Gemelo / Squad and calf (95 kg)</t>
  </si>
  <si>
    <t>Glúteos / Glute (71 kg)</t>
  </si>
  <si>
    <t>Accesorios de entrenamiento</t>
  </si>
  <si>
    <t>Barras</t>
  </si>
  <si>
    <t>Mancuernas de 1 kg</t>
  </si>
  <si>
    <t>Mancuernas de 1,2 kg</t>
  </si>
  <si>
    <t>Mancuernas de 2 kg</t>
  </si>
  <si>
    <t>Colchonetas 50 cm x 1 mt</t>
  </si>
  <si>
    <t>Pelotas de pilates</t>
  </si>
  <si>
    <t>Colchoneta de Yoga 1 m x 1,20 cm</t>
  </si>
  <si>
    <t>Step con niveles</t>
  </si>
  <si>
    <t>Accesorios sala de club</t>
  </si>
  <si>
    <t>Lifetime Mesa plegable 183 x 76 cm</t>
  </si>
  <si>
    <t>Magefesa Cocina Dinamic Duo 8023 Blanco</t>
  </si>
  <si>
    <t>Instrumentos medicos</t>
  </si>
  <si>
    <t>Adipómetro</t>
  </si>
  <si>
    <t>cinta antropométrica</t>
  </si>
  <si>
    <t>antropómetro para medir distancias óseas</t>
  </si>
  <si>
    <t>tallímetro</t>
  </si>
  <si>
    <t>Balanza sin impedancia</t>
  </si>
  <si>
    <t>Baño</t>
  </si>
  <si>
    <t>Secadoras de mano</t>
  </si>
  <si>
    <t>Inodoros</t>
  </si>
  <si>
    <t>Lavamanos</t>
  </si>
  <si>
    <t>Grifo de lavamanos</t>
  </si>
  <si>
    <t>Termas (80l)</t>
  </si>
  <si>
    <t>Espejos</t>
  </si>
  <si>
    <t>Bancas (1.5m)</t>
  </si>
  <si>
    <t>Cortina de plástico + barras</t>
  </si>
  <si>
    <t>Cortinas + barras</t>
  </si>
  <si>
    <t>Sujetador de papel higiénico</t>
  </si>
  <si>
    <t>Grifería de ducha</t>
  </si>
  <si>
    <t>Lockers (12puertas)</t>
  </si>
  <si>
    <t>Sauna</t>
  </si>
  <si>
    <t>Falso techo térmico</t>
  </si>
  <si>
    <t>Amoblado oficinas administrativas y consultorios</t>
  </si>
  <si>
    <t>Canon Impresora Inalámbrica Multifuncional MAXIFY MB5310</t>
  </si>
  <si>
    <t>Computadoras</t>
  </si>
  <si>
    <t>Central telefónica</t>
  </si>
  <si>
    <t>Escritorios de recepción - mostrador</t>
  </si>
  <si>
    <t>Escritorios de oficina: Asenti Escritorio Canarias 2 cajones</t>
  </si>
  <si>
    <t>Mesas (Ejecutivo de ventas)</t>
  </si>
  <si>
    <t>Sillas para oficina: Karson Silla Juvenil negra</t>
  </si>
  <si>
    <t>Sillas: Karson Sillón Ejecutivo negro</t>
  </si>
  <si>
    <t>Archivador: Home Collection Archivador de 5 cajones</t>
  </si>
  <si>
    <t>TV y equipos</t>
  </si>
  <si>
    <t>Televisor de pared LED LG</t>
  </si>
  <si>
    <t>Equipo de sonido (incluye parlantes y microfonos)</t>
  </si>
  <si>
    <t>Sistema de parlantes</t>
  </si>
  <si>
    <t>Intangibles</t>
  </si>
  <si>
    <t>Software de Nutricion</t>
  </si>
  <si>
    <t>Software gym master</t>
  </si>
  <si>
    <t>Legal y administrativo</t>
  </si>
  <si>
    <t xml:space="preserve">Contrato de arrendamiento </t>
  </si>
  <si>
    <t xml:space="preserve">Licencia de Funcionamiento </t>
  </si>
  <si>
    <t>Investigación de mercado</t>
  </si>
  <si>
    <t>Creación de Página Web</t>
  </si>
  <si>
    <t>Gestión de redes sociales/ Comunity manager x un mes</t>
  </si>
  <si>
    <t>Repartidor de volantes</t>
  </si>
  <si>
    <t>Open day</t>
  </si>
  <si>
    <t>Inauguración de Profile</t>
  </si>
  <si>
    <t>Alquiler local (por mes)</t>
  </si>
  <si>
    <t>Garantia</t>
  </si>
  <si>
    <t>RRHH</t>
  </si>
  <si>
    <t>full time</t>
  </si>
  <si>
    <t>Recepcionista</t>
  </si>
  <si>
    <t>part time</t>
  </si>
  <si>
    <t>TOTAL PREOPERATIVO</t>
  </si>
  <si>
    <t>CONCESIONES</t>
  </si>
  <si>
    <t>Alquiler Cafetería</t>
  </si>
  <si>
    <t>Alquiler área de masajes</t>
  </si>
  <si>
    <t>Planes de salud</t>
  </si>
  <si>
    <t>Tercerizado-Vive Profile</t>
  </si>
  <si>
    <t>Incentivos</t>
  </si>
  <si>
    <t>PUNTO DE EQUILIBRIO</t>
  </si>
  <si>
    <t>TIPO DE CAMBIO</t>
  </si>
  <si>
    <t>WACC</t>
  </si>
  <si>
    <t>Saldo Inicial</t>
  </si>
  <si>
    <t>Cuota</t>
  </si>
  <si>
    <t>Amortización</t>
  </si>
  <si>
    <t>Escudo Fiscal</t>
  </si>
  <si>
    <t>PARTIDAS</t>
  </si>
  <si>
    <t>Intereses</t>
  </si>
  <si>
    <t>% Deuda</t>
  </si>
  <si>
    <t>Deuda Financiera</t>
  </si>
  <si>
    <t>TEA</t>
  </si>
  <si>
    <t>Periodo (Años)</t>
  </si>
  <si>
    <t>Flujo de Servicio a la Deuda</t>
  </si>
  <si>
    <t>Ke</t>
  </si>
  <si>
    <t>Deuda</t>
  </si>
  <si>
    <t>Capital</t>
  </si>
  <si>
    <t>Kd</t>
  </si>
  <si>
    <t>FLUJO DE CAJA FINANCIERO</t>
  </si>
  <si>
    <t>Tasa Libre de Riesgo</t>
  </si>
  <si>
    <t>Prima de mercado</t>
  </si>
  <si>
    <t>Riesgo País</t>
  </si>
  <si>
    <t>Beta Desapalancada</t>
  </si>
  <si>
    <t>Beta Apalancada</t>
  </si>
  <si>
    <t>COSTOS VARIABLES</t>
  </si>
  <si>
    <t>MARGEN DE SEGURIDAD</t>
  </si>
  <si>
    <t>MARGEN DE CONTRIBUCION (%)</t>
  </si>
  <si>
    <t>PUNTO DE EQUILIBRIO (%)</t>
  </si>
  <si>
    <t>MARGEN DE SEGURIDAD (%)</t>
  </si>
  <si>
    <t>Generador de vapor eléctrico</t>
  </si>
  <si>
    <t>Accesorios</t>
  </si>
  <si>
    <t>Pasaje, hotel y viáticos</t>
  </si>
  <si>
    <t>Publicacion en revistas - Hola!</t>
  </si>
  <si>
    <t>Efectivo</t>
  </si>
  <si>
    <t>Ventas</t>
  </si>
  <si>
    <t>Cuentas por Pagar</t>
  </si>
  <si>
    <t>DIAS</t>
  </si>
  <si>
    <t>SALDOS DE C.T.</t>
  </si>
  <si>
    <t>Cuentas por Cobrar</t>
  </si>
  <si>
    <t>Inventario</t>
  </si>
  <si>
    <t>Variación del C.T.</t>
  </si>
  <si>
    <t>Recuperación del C.T.</t>
  </si>
  <si>
    <t>Inversión en C.T.</t>
  </si>
  <si>
    <t>Costo Variables</t>
  </si>
  <si>
    <t>Gastos Fijos</t>
  </si>
  <si>
    <t>Máquinas</t>
  </si>
  <si>
    <t>Extensiones y cuadriceps / Extensions &amp; Quadriceps</t>
  </si>
  <si>
    <t>Dorsales isolaterales / Lat Pulldown (95 kg)</t>
  </si>
  <si>
    <t>Unidad</t>
  </si>
  <si>
    <t>TOTAL DEPRECIACIÓN POR AÑO</t>
  </si>
  <si>
    <t>Instrumentos médicos</t>
  </si>
  <si>
    <t>Estacionalidad</t>
  </si>
  <si>
    <t>Programas</t>
  </si>
  <si>
    <t>Periodo</t>
  </si>
  <si>
    <t>año 1-3</t>
  </si>
  <si>
    <t>año 4-6</t>
  </si>
  <si>
    <t>año 7-10</t>
  </si>
  <si>
    <t>Cant. De nutricionistas</t>
  </si>
  <si>
    <t>1 full time, 2 part time</t>
  </si>
  <si>
    <t>1 full time, 3 part time</t>
  </si>
  <si>
    <t>2 full time, 3 part time</t>
  </si>
  <si>
    <t>Cantidad de atendidas mensualmente</t>
  </si>
  <si>
    <t>Cantidad de atendidas</t>
  </si>
  <si>
    <t>Ingresos totales</t>
  </si>
  <si>
    <t>Año 1-4</t>
  </si>
  <si>
    <t>Año 5-10</t>
  </si>
  <si>
    <t>1 part time</t>
  </si>
  <si>
    <t>2 part time</t>
  </si>
  <si>
    <t>Cant. de atendidas mensual</t>
  </si>
  <si>
    <t>TOTAL SIN IGV</t>
  </si>
  <si>
    <t>TOTAL CON IGV</t>
  </si>
  <si>
    <t>Polo</t>
  </si>
  <si>
    <t>Kit de Bienvenida</t>
  </si>
  <si>
    <t>El alquiler del local se mantiene constante durante el período de evaluación</t>
  </si>
  <si>
    <t>Costo S/IGV</t>
  </si>
  <si>
    <t>Costo Unitario</t>
  </si>
  <si>
    <t>Costo Total</t>
  </si>
  <si>
    <t>INVERSIÓN - SIN IGV</t>
  </si>
  <si>
    <t>DEPRECIACIÓN</t>
  </si>
  <si>
    <t>Proyector (Proyector LED HDMI WVGA Blanco)</t>
  </si>
  <si>
    <t>Ecran (Pantalla de Proyección)</t>
  </si>
  <si>
    <t>Sillas (Producto Exclusivo Silla plegable Taxi)</t>
  </si>
  <si>
    <t>Make up chair: Asenti Silla diseño bicicleta blanco</t>
  </si>
  <si>
    <t>Horno eléctrico</t>
  </si>
  <si>
    <t>Extractor de jugo</t>
  </si>
  <si>
    <t>Colchoneta de yoga</t>
  </si>
  <si>
    <t>Set de ollas y sartenes + utensilios</t>
  </si>
  <si>
    <t>Camilla</t>
  </si>
  <si>
    <t>Tensiometro</t>
  </si>
  <si>
    <t>Martillo</t>
  </si>
  <si>
    <t>Dispensador de papel</t>
  </si>
  <si>
    <t>Dispensador de jabón</t>
  </si>
  <si>
    <t>MANTENIMIENTO</t>
  </si>
  <si>
    <t>AÑOS</t>
  </si>
  <si>
    <t>DEPRECIACION &amp; AMORTIZACIÓN ANUAL</t>
  </si>
  <si>
    <t>MANTENIMIENTO ANUAL</t>
  </si>
  <si>
    <t>TOTAL MANTENIMIENTO POR AÑO</t>
  </si>
  <si>
    <t>TOTAL INVERSIÓN POR AÑO</t>
  </si>
  <si>
    <t>INVERSIÓN INICIAL Y REINVERSIÓN</t>
  </si>
  <si>
    <t>DEPRECIACIÓN MENSUAL DURANTE EL PRIMER AÑO</t>
  </si>
  <si>
    <t>VALOR RESIDUAL ANUAL</t>
  </si>
  <si>
    <t>Frecuencia Anual</t>
  </si>
  <si>
    <t>TOTAL VALOR RESIDUAL POR AÑO</t>
  </si>
  <si>
    <t>INVERSIÓN INICIAL</t>
  </si>
  <si>
    <t>RENOVACIÓN</t>
  </si>
  <si>
    <t>SEO</t>
  </si>
  <si>
    <t>Valor Residual por venta de activos</t>
  </si>
  <si>
    <t>FUENTE</t>
  </si>
  <si>
    <t>Prima de Riesgo de Tamaño de Empresa</t>
  </si>
  <si>
    <t>http://www.healthinquiry.net/Public%20Submissions/Netcare%20Ex%20GH-75%20Ibbotson.pdf</t>
  </si>
  <si>
    <t>https://www.treasury.gov/resource-center/data-chart-center/interest-rates/Pages/TextView.aspx?data=yieldYear&amp;year=2016</t>
  </si>
  <si>
    <t>http://pages.stern.nyu.edu/~adamodar/New_Home_Page/datafile/histretSP.html</t>
  </si>
  <si>
    <t>https://estadisticas.bcrp.gob.pe/estadisticas/series/diarias/resultados/P01861EMD/html</t>
  </si>
  <si>
    <t>http://pages.stern.nyu.edu/~adamodar/New_Home_Page/datafile/Betas.html</t>
  </si>
  <si>
    <t>Impuesto</t>
  </si>
  <si>
    <t>COK</t>
  </si>
  <si>
    <t>Se considera el costo de capital con una beta sin apalancamiento por definir toda la inversión mediante capital de los accionistas.</t>
  </si>
  <si>
    <t>Inversión capital de trabajo - recuperación año 10</t>
  </si>
  <si>
    <t>Plan mensual (2 citas)</t>
  </si>
  <si>
    <t>Inbody 270</t>
  </si>
  <si>
    <t>Costos laborales por cada persona</t>
  </si>
  <si>
    <t>TOTAL MENSUAL</t>
  </si>
  <si>
    <t>TOTAL AÑO 10</t>
  </si>
  <si>
    <t>TOTAL AÑO 9</t>
  </si>
  <si>
    <t>TOTAL AÑO 8</t>
  </si>
  <si>
    <t>TOTAL AÑO 7</t>
  </si>
  <si>
    <t>TOTAL AÑO 6</t>
  </si>
  <si>
    <t>TOTAL AÑO 5</t>
  </si>
  <si>
    <t>TOTAL AÑO 4</t>
  </si>
  <si>
    <t>TOTAL AÑO 3</t>
  </si>
  <si>
    <t>TOTAL AÑO 2</t>
  </si>
  <si>
    <t>TOTAL AÑO 1</t>
  </si>
  <si>
    <t>Alquiler del local</t>
  </si>
  <si>
    <t>Por m2</t>
  </si>
  <si>
    <t>Unidad medida</t>
  </si>
  <si>
    <t>Millar</t>
  </si>
  <si>
    <t>Empaque</t>
  </si>
  <si>
    <t>D)Uniforme</t>
  </si>
  <si>
    <t>Salario Mixto Fijo/ Full Time</t>
  </si>
  <si>
    <t>Salario Mixto Fijo/Part Time</t>
  </si>
  <si>
    <t>Salario fijo/Full Time</t>
  </si>
  <si>
    <t>Inducción</t>
  </si>
  <si>
    <t>Curso de primeros auxilios</t>
  </si>
  <si>
    <t>Curso de seguridad en el trabajo</t>
  </si>
  <si>
    <t>Aviso Bumerang</t>
  </si>
  <si>
    <t>Selección</t>
  </si>
  <si>
    <t>Avisos bumeran</t>
  </si>
  <si>
    <t>Aviso en El Coomercio</t>
  </si>
  <si>
    <t>Curso de fisioterapia</t>
  </si>
  <si>
    <t>Curso de habilidad blandas</t>
  </si>
  <si>
    <t>Taller de Habilidades blandas</t>
  </si>
  <si>
    <t>Trainer / Caminatas</t>
  </si>
  <si>
    <t>Meditación</t>
  </si>
  <si>
    <t>Pilates</t>
  </si>
  <si>
    <t>RRHH: BENEFICIOS</t>
  </si>
  <si>
    <t>RRHH: INCENTIVOS</t>
  </si>
  <si>
    <t>RRHH: INDUCCIÓN</t>
  </si>
  <si>
    <t>RRHH: SELECCIÓN</t>
  </si>
  <si>
    <t>RRHH: DESARROLLO</t>
  </si>
  <si>
    <t>RRHH: DESARROLLO - BENEFICIOS - INCENTIVOS - INDUCCIÓN - SELECCIÓN</t>
  </si>
  <si>
    <t>Desarrollo</t>
  </si>
  <si>
    <t>Beneficios</t>
  </si>
  <si>
    <t>Concepto: Mensual</t>
  </si>
  <si>
    <t>Capacitaciones: Mensual</t>
  </si>
  <si>
    <t>Capacitaciones: Anual</t>
  </si>
  <si>
    <t>Baile</t>
  </si>
  <si>
    <t>Yoga</t>
  </si>
  <si>
    <t>Chef</t>
  </si>
  <si>
    <t>Maquilladora</t>
  </si>
  <si>
    <t>Taller psicólogo</t>
  </si>
  <si>
    <t>Community manager</t>
  </si>
  <si>
    <t>Vacaciones</t>
  </si>
  <si>
    <t>Marketing: Lanzamiento</t>
  </si>
  <si>
    <t>Compra de anuncios publicitarios vía facebook</t>
  </si>
  <si>
    <t>Entrevistas en el noticiero de RPP.</t>
  </si>
  <si>
    <t>Entrevista programas médicos como Bien de Salud</t>
  </si>
  <si>
    <t>Entrevista Dr TV</t>
  </si>
  <si>
    <t>a.Decoración</t>
  </si>
  <si>
    <t>b.Buffet Saludable</t>
  </si>
  <si>
    <t>c.Dj</t>
  </si>
  <si>
    <t>d.Sorteo de 3 canastas</t>
  </si>
  <si>
    <t xml:space="preserve">Impresion volantes x 4000 </t>
  </si>
  <si>
    <t>E-mailing base de datos (100,000 envíos)</t>
  </si>
  <si>
    <t>mensual</t>
  </si>
  <si>
    <t>Otros:</t>
  </si>
  <si>
    <t>Entrega de merchandising</t>
  </si>
  <si>
    <t>Kits de regalo</t>
  </si>
  <si>
    <t>Jefe Ejecutivo de Ventas</t>
  </si>
  <si>
    <t>Costo</t>
  </si>
  <si>
    <t>Se asumirá un préstamo tipo bullet de los socios hacia la empresa en un horizonte de 10 años considerando la tasa de 21.81% como TEA dada por la SBS.</t>
  </si>
  <si>
    <t>Jefe Ejecutivo de Venta</t>
  </si>
  <si>
    <t>TIPO DE PRÉSTAMO BULLET</t>
  </si>
  <si>
    <t>Regalo de maletín</t>
  </si>
  <si>
    <t>Regalo de polo y pantalón de buzo</t>
  </si>
  <si>
    <t>Otros Gastos</t>
  </si>
  <si>
    <t>Costo de Envío - máquinas de gimnasio</t>
  </si>
  <si>
    <t>Minuta</t>
  </si>
  <si>
    <t>Registros Públicos - SUNARP</t>
  </si>
  <si>
    <t>Notaria Montoya Vera</t>
  </si>
  <si>
    <t>Informe ITSDC - INDECI</t>
  </si>
  <si>
    <t>Arquitecto - elaboración de planos</t>
  </si>
  <si>
    <t>Extintores</t>
  </si>
  <si>
    <t>Instalación POS Visa y Mastercard</t>
  </si>
  <si>
    <t>COSTOS DIRECTOS</t>
  </si>
  <si>
    <t>COSTOS INDIRECTOS</t>
  </si>
  <si>
    <t>ANUAL</t>
  </si>
  <si>
    <t>TRIMESTRAL</t>
  </si>
  <si>
    <t>SEMESTRAL</t>
  </si>
  <si>
    <t>Alquileres con estacionamiento</t>
  </si>
  <si>
    <t>MARGEN</t>
  </si>
  <si>
    <t>Servicio de seguridad (noche y día), incluye cámaras de seguridad</t>
  </si>
  <si>
    <t>RR.HH.: Planilla</t>
  </si>
  <si>
    <t>RR.HH.: Tercerizado-Servicios</t>
  </si>
  <si>
    <t>RR.HH.: Tercerizado-Vive Profile</t>
  </si>
  <si>
    <t>RR.HH.: Inducción y selección</t>
  </si>
  <si>
    <t>RR.HH.: Desarrollo</t>
  </si>
  <si>
    <t>RR.HH.: Incentivos y beneficios</t>
  </si>
  <si>
    <t>Marketing: Mantenimiento</t>
  </si>
  <si>
    <t>A.</t>
  </si>
  <si>
    <t>B.</t>
  </si>
  <si>
    <t>C.</t>
  </si>
  <si>
    <t>D.</t>
  </si>
  <si>
    <t>E.</t>
  </si>
  <si>
    <t>F.</t>
  </si>
  <si>
    <t>G.</t>
  </si>
  <si>
    <t>H.</t>
  </si>
  <si>
    <t>I.</t>
  </si>
  <si>
    <t>seguro privado</t>
  </si>
  <si>
    <t>Seguros contra todo riesgo</t>
  </si>
  <si>
    <t>Costo mano de obra</t>
  </si>
  <si>
    <t>Materiales</t>
  </si>
  <si>
    <t>Costos indirectos de servicio</t>
  </si>
  <si>
    <t>Laptops</t>
  </si>
  <si>
    <t>Los Portales</t>
  </si>
  <si>
    <t>Aire acondicionado</t>
  </si>
  <si>
    <t>Depreciación maquinaria y articulos</t>
  </si>
  <si>
    <t>Luz, entre otros.</t>
  </si>
  <si>
    <t xml:space="preserve">
Modificado por LUISA el 02/10/2016</t>
  </si>
  <si>
    <t>Celdas cambiantes:</t>
  </si>
  <si>
    <t>Valores actuales:</t>
  </si>
  <si>
    <t>Celdas de resultado:</t>
  </si>
  <si>
    <t>Notas: La columna de valores actuales representa los valores de las celdas cambiantes</t>
  </si>
  <si>
    <t>en el momento en que se creó el Informe resumen de escenario. Las celdas cambiantes de</t>
  </si>
  <si>
    <t>PRECIO TRIMESTRAL</t>
  </si>
  <si>
    <t>PRECIO SEMESTRAL</t>
  </si>
  <si>
    <t>TIR</t>
  </si>
  <si>
    <t>PRD</t>
  </si>
  <si>
    <t>Acondicionamiento de local</t>
  </si>
  <si>
    <t>Hall, recepción</t>
  </si>
  <si>
    <t>Área de máquinas, áre de circuito, Vive Profile</t>
  </si>
  <si>
    <t>Cafetería, tópico</t>
  </si>
  <si>
    <t>SS.HH., vestuario, duchas, sauna, masajes, escalera</t>
  </si>
  <si>
    <t>Cuarto de máquina, depósito</t>
  </si>
  <si>
    <t>Oficinas y consultorios</t>
  </si>
  <si>
    <t>SS.HH., vestuario, duchas, escaleras</t>
  </si>
  <si>
    <t>Cerco reja H=50m, sobre sardinel de concreto</t>
  </si>
  <si>
    <t>Pisos en Ingreso y Estacionamiento + Jardines de concreto.</t>
  </si>
  <si>
    <t>metros cuarados</t>
  </si>
  <si>
    <t>Precio-15%</t>
  </si>
  <si>
    <t>Precio-10%</t>
  </si>
  <si>
    <t>Precio+15%</t>
  </si>
  <si>
    <t>Precio+10%</t>
  </si>
  <si>
    <t xml:space="preserve">
</t>
  </si>
  <si>
    <t>Cantidad-15%</t>
  </si>
  <si>
    <t>Cantidad-10%</t>
  </si>
  <si>
    <t>Cantidad+10%</t>
  </si>
  <si>
    <t>Cantidad+15%</t>
  </si>
  <si>
    <t>CANTIDAD INICIAL</t>
  </si>
  <si>
    <t>VPN</t>
  </si>
  <si>
    <t xml:space="preserve">Sensibilidad </t>
  </si>
  <si>
    <t>CI  POR  PERSONA</t>
  </si>
  <si>
    <t>CD POR PERSONA</t>
  </si>
  <si>
    <t>%</t>
  </si>
  <si>
    <t>Cantidad de inscripciones al año</t>
  </si>
  <si>
    <t>Planilla (s/entrenador, s/jefe entrenador,s/endocrinologo,s/nutricionista,s/psicologo)</t>
  </si>
  <si>
    <t>COSTOS INDIRECTOS POR PERSONA</t>
  </si>
  <si>
    <t>Endocrinologo</t>
  </si>
  <si>
    <t>Costo por circuito</t>
  </si>
  <si>
    <t>Sueldo con beneficios promedio mensual</t>
  </si>
  <si>
    <t>COSTO POR PERSONA</t>
  </si>
  <si>
    <t>cada escenario se muestran en rosado.</t>
  </si>
  <si>
    <t>Pvu</t>
  </si>
  <si>
    <t>Cvu</t>
  </si>
  <si>
    <t>CF</t>
  </si>
  <si>
    <t>P.E.</t>
  </si>
  <si>
    <t xml:space="preserve">RR.HH.: Incentivos y beneficios </t>
  </si>
  <si>
    <t>Precio Promedio</t>
  </si>
  <si>
    <t>Punto de Equilibrio (P.E.): Obtenido al primer año.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</si>
</sst>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6" formatCode="&quot;S/.&quot;\ #,##0;[Red]&quot;S/.&quot;\ \-#,##0"/>
    <numFmt numFmtId="43" formatCode="_ * #,##0.00_ ;_ * \-#,##0.00_ ;_ * &quot;-&quot;??_ ;_ @_ "/>
    <numFmt numFmtId="164" formatCode="_-* #,##0.00_-;\-* #,##0.00_-;_-* &quot;-&quot;??_-;_-@_-"/>
    <numFmt numFmtId="165" formatCode="#,##0_ ;[Red]\-#,##0\ "/>
    <numFmt numFmtId="166" formatCode="0.0%"/>
    <numFmt numFmtId="167" formatCode="_ * #,##0_ ;_ * \-#,##0_ ;_ * &quot;-&quot;??_ ;_ @_ "/>
    <numFmt numFmtId="168" formatCode="_-* #,##0_-;\-* #,##0_-;_-* &quot;-&quot;??_-;_-@_-"/>
    <numFmt numFmtId="169" formatCode="_-&quot;S/.&quot;* #,##0.00_-;\-&quot;S/.&quot;* #,##0.00_-;_-&quot;S/.&quot;* &quot;-&quot;??_-;_-@_-"/>
    <numFmt numFmtId="170" formatCode="#,##0_ ;\-#,##0\ "/>
    <numFmt numFmtId="171" formatCode="0.0"/>
    <numFmt numFmtId="172" formatCode="_(* #,##0_);_(* \(#,##0\);_(* &quot;-&quot;??_);_(@_)"/>
    <numFmt numFmtId="173" formatCode="0.00000%"/>
    <numFmt numFmtId="174" formatCode="0.00000000000%"/>
    <numFmt numFmtId="175" formatCode="0.000%"/>
    <numFmt numFmtId="176" formatCode="#,##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theme="1"/>
      <name val="Times New Roman"/>
      <family val="1"/>
    </font>
    <font>
      <b/>
      <sz val="9"/>
      <color indexed="81"/>
      <name val="Times New Roman"/>
      <family val="1"/>
    </font>
    <font>
      <sz val="9"/>
      <color indexed="8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0"/>
      <color theme="0"/>
      <name val="Times New Roman"/>
      <family val="1"/>
    </font>
    <font>
      <b/>
      <i/>
      <sz val="10"/>
      <color rgb="FFFF0000"/>
      <name val="Times New Roman"/>
      <family val="1"/>
    </font>
    <font>
      <sz val="12"/>
      <color rgb="FF000000"/>
      <name val="Times New Roman"/>
      <family val="1"/>
    </font>
    <font>
      <u/>
      <sz val="11"/>
      <color theme="10"/>
      <name val="Calibri"/>
      <family val="2"/>
      <scheme val="minor"/>
    </font>
    <font>
      <u/>
      <sz val="11"/>
      <color theme="10"/>
      <name val="Times New Roman"/>
      <family val="1"/>
    </font>
    <font>
      <b/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sz val="10"/>
      <color rgb="FFFF0000"/>
      <name val="Times New Roman"/>
      <family val="1"/>
    </font>
    <font>
      <b/>
      <u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sz val="10"/>
      <color indexed="9"/>
      <name val="Times New Roman"/>
      <family val="1"/>
    </font>
    <font>
      <b/>
      <sz val="10"/>
      <color indexed="9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18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DCB9FF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FFFF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CFF"/>
        <bgColor rgb="FFFFFF00"/>
      </patternFill>
    </fill>
    <fill>
      <patternFill patternType="solid">
        <fgColor rgb="FFDCB9FF"/>
        <bgColor rgb="FFFFFF00"/>
      </patternFill>
    </fill>
    <fill>
      <patternFill patternType="solid">
        <fgColor rgb="FFDCB9FF"/>
        <bgColor rgb="FFFFFFFF"/>
      </patternFill>
    </fill>
    <fill>
      <patternFill patternType="solid">
        <fgColor rgb="FFFFCCFF"/>
        <bgColor rgb="FFF4CCCC"/>
      </patternFill>
    </fill>
    <fill>
      <patternFill patternType="solid">
        <fgColor rgb="FFFFE5FF"/>
        <bgColor indexed="64"/>
      </patternFill>
    </fill>
    <fill>
      <patternFill patternType="solid">
        <fgColor theme="0"/>
        <bgColor rgb="FFF4CCCC"/>
      </patternFill>
    </fill>
    <fill>
      <patternFill patternType="solid">
        <fgColor indexed="22"/>
        <bgColor indexed="24"/>
      </patternFill>
    </fill>
    <fill>
      <patternFill patternType="solid">
        <fgColor rgb="FF7030A0"/>
        <bgColor indexed="24"/>
      </patternFill>
    </fill>
    <fill>
      <patternFill patternType="solid">
        <fgColor rgb="FFFF99FF"/>
        <bgColor indexed="24"/>
      </patternFill>
    </fill>
    <fill>
      <patternFill patternType="solid">
        <fgColor rgb="FFFFCCFF"/>
        <bgColor indexed="7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9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867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10" fillId="5" borderId="14" xfId="0" applyFont="1" applyFill="1" applyBorder="1" applyAlignment="1">
      <alignment vertical="center"/>
    </xf>
    <xf numFmtId="0" fontId="9" fillId="2" borderId="0" xfId="0" applyFont="1" applyFill="1"/>
    <xf numFmtId="170" fontId="9" fillId="2" borderId="1" xfId="6" applyNumberFormat="1" applyFont="1" applyFill="1" applyBorder="1" applyAlignment="1">
      <alignment horizontal="center" vertical="center"/>
    </xf>
    <xf numFmtId="0" fontId="9" fillId="2" borderId="0" xfId="5" applyFont="1" applyFill="1" applyBorder="1" applyAlignment="1">
      <alignment horizontal="center" vertical="center" wrapText="1"/>
    </xf>
    <xf numFmtId="9" fontId="9" fillId="2" borderId="0" xfId="2" applyFont="1" applyFill="1" applyBorder="1" applyAlignment="1">
      <alignment horizontal="center" vertical="center"/>
    </xf>
    <xf numFmtId="170" fontId="9" fillId="2" borderId="0" xfId="6" applyNumberFormat="1" applyFont="1" applyFill="1" applyBorder="1" applyAlignment="1">
      <alignment horizontal="center" vertical="center"/>
    </xf>
    <xf numFmtId="170" fontId="10" fillId="2" borderId="1" xfId="6" applyNumberFormat="1" applyFont="1" applyFill="1" applyBorder="1" applyAlignment="1">
      <alignment horizontal="center" vertical="center"/>
    </xf>
    <xf numFmtId="3" fontId="10" fillId="5" borderId="1" xfId="0" applyNumberFormat="1" applyFont="1" applyFill="1" applyBorder="1" applyAlignment="1">
      <alignment horizontal="center" vertical="center"/>
    </xf>
    <xf numFmtId="166" fontId="9" fillId="5" borderId="14" xfId="2" applyNumberFormat="1" applyFont="1" applyFill="1" applyBorder="1" applyAlignment="1">
      <alignment horizontal="center" vertical="center"/>
    </xf>
    <xf numFmtId="0" fontId="11" fillId="2" borderId="0" xfId="0" applyFont="1" applyFill="1"/>
    <xf numFmtId="0" fontId="12" fillId="5" borderId="1" xfId="0" applyFont="1" applyFill="1" applyBorder="1"/>
    <xf numFmtId="0" fontId="11" fillId="4" borderId="1" xfId="0" applyFont="1" applyFill="1" applyBorder="1"/>
    <xf numFmtId="0" fontId="11" fillId="5" borderId="1" xfId="0" applyFont="1" applyFill="1" applyBorder="1"/>
    <xf numFmtId="0" fontId="11" fillId="2" borderId="1" xfId="0" applyFont="1" applyFill="1" applyBorder="1" applyAlignment="1">
      <alignment horizontal="center" vertical="center"/>
    </xf>
    <xf numFmtId="1" fontId="11" fillId="2" borderId="1" xfId="0" applyNumberFormat="1" applyFont="1" applyFill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0" fontId="12" fillId="5" borderId="14" xfId="0" applyFont="1" applyFill="1" applyBorder="1"/>
    <xf numFmtId="0" fontId="11" fillId="2" borderId="0" xfId="0" applyFont="1" applyFill="1" applyBorder="1"/>
    <xf numFmtId="3" fontId="11" fillId="2" borderId="0" xfId="0" applyNumberFormat="1" applyFont="1" applyFill="1" applyBorder="1" applyAlignment="1">
      <alignment horizontal="center"/>
    </xf>
    <xf numFmtId="3" fontId="11" fillId="2" borderId="0" xfId="0" applyNumberFormat="1" applyFont="1" applyFill="1" applyBorder="1" applyAlignment="1">
      <alignment horizontal="center" vertical="center"/>
    </xf>
    <xf numFmtId="1" fontId="11" fillId="2" borderId="0" xfId="0" applyNumberFormat="1" applyFont="1" applyFill="1" applyBorder="1" applyAlignment="1">
      <alignment horizontal="center" vertical="center"/>
    </xf>
    <xf numFmtId="3" fontId="11" fillId="2" borderId="14" xfId="0" applyNumberFormat="1" applyFont="1" applyFill="1" applyBorder="1" applyAlignment="1">
      <alignment horizontal="center" vertical="center" wrapText="1"/>
    </xf>
    <xf numFmtId="1" fontId="11" fillId="2" borderId="14" xfId="0" applyNumberFormat="1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left" vertical="center" wrapText="1"/>
    </xf>
    <xf numFmtId="3" fontId="11" fillId="2" borderId="14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3" fontId="11" fillId="2" borderId="14" xfId="0" applyNumberFormat="1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1" fontId="11" fillId="8" borderId="1" xfId="0" applyNumberFormat="1" applyFont="1" applyFill="1" applyBorder="1" applyAlignment="1">
      <alignment horizontal="center" vertical="center"/>
    </xf>
    <xf numFmtId="3" fontId="11" fillId="2" borderId="8" xfId="0" applyNumberFormat="1" applyFont="1" applyFill="1" applyBorder="1" applyAlignment="1">
      <alignment horizontal="center"/>
    </xf>
    <xf numFmtId="3" fontId="9" fillId="2" borderId="6" xfId="0" applyNumberFormat="1" applyFont="1" applyFill="1" applyBorder="1" applyAlignment="1">
      <alignment horizontal="center"/>
    </xf>
    <xf numFmtId="0" fontId="11" fillId="5" borderId="3" xfId="0" applyFont="1" applyFill="1" applyBorder="1"/>
    <xf numFmtId="9" fontId="11" fillId="2" borderId="6" xfId="0" applyNumberFormat="1" applyFont="1" applyFill="1" applyBorder="1" applyAlignment="1">
      <alignment horizontal="center"/>
    </xf>
    <xf numFmtId="0" fontId="11" fillId="5" borderId="11" xfId="0" applyFont="1" applyFill="1" applyBorder="1"/>
    <xf numFmtId="0" fontId="11" fillId="2" borderId="8" xfId="0" applyFont="1" applyFill="1" applyBorder="1" applyAlignment="1">
      <alignment horizontal="center"/>
    </xf>
    <xf numFmtId="10" fontId="11" fillId="2" borderId="13" xfId="0" applyNumberFormat="1" applyFont="1" applyFill="1" applyBorder="1"/>
    <xf numFmtId="0" fontId="11" fillId="5" borderId="12" xfId="0" applyFont="1" applyFill="1" applyBorder="1"/>
    <xf numFmtId="0" fontId="11" fillId="5" borderId="15" xfId="0" applyFont="1" applyFill="1" applyBorder="1" applyAlignment="1">
      <alignment horizontal="center"/>
    </xf>
    <xf numFmtId="3" fontId="11" fillId="2" borderId="4" xfId="0" applyNumberFormat="1" applyFont="1" applyFill="1" applyBorder="1" applyAlignment="1">
      <alignment horizontal="center"/>
    </xf>
    <xf numFmtId="3" fontId="11" fillId="2" borderId="5" xfId="0" applyNumberFormat="1" applyFont="1" applyFill="1" applyBorder="1" applyAlignment="1">
      <alignment horizontal="center"/>
    </xf>
    <xf numFmtId="6" fontId="11" fillId="2" borderId="7" xfId="0" applyNumberFormat="1" applyFont="1" applyFill="1" applyBorder="1"/>
    <xf numFmtId="165" fontId="11" fillId="2" borderId="0" xfId="0" applyNumberFormat="1" applyFont="1" applyFill="1" applyBorder="1" applyAlignment="1">
      <alignment horizontal="center"/>
    </xf>
    <xf numFmtId="0" fontId="11" fillId="2" borderId="7" xfId="0" applyFont="1" applyFill="1" applyBorder="1"/>
    <xf numFmtId="165" fontId="11" fillId="2" borderId="15" xfId="0" applyNumberFormat="1" applyFont="1" applyFill="1" applyBorder="1" applyAlignment="1">
      <alignment horizontal="center"/>
    </xf>
    <xf numFmtId="9" fontId="11" fillId="2" borderId="8" xfId="0" applyNumberFormat="1" applyFont="1" applyFill="1" applyBorder="1"/>
    <xf numFmtId="9" fontId="11" fillId="2" borderId="13" xfId="0" applyNumberFormat="1" applyFont="1" applyFill="1" applyBorder="1"/>
    <xf numFmtId="9" fontId="11" fillId="2" borderId="10" xfId="0" applyNumberFormat="1" applyFont="1" applyFill="1" applyBorder="1"/>
    <xf numFmtId="3" fontId="11" fillId="2" borderId="3" xfId="0" applyNumberFormat="1" applyFont="1" applyFill="1" applyBorder="1" applyAlignment="1">
      <alignment horizontal="center"/>
    </xf>
    <xf numFmtId="0" fontId="11" fillId="5" borderId="7" xfId="0" applyFont="1" applyFill="1" applyBorder="1"/>
    <xf numFmtId="0" fontId="11" fillId="5" borderId="9" xfId="0" applyFont="1" applyFill="1" applyBorder="1"/>
    <xf numFmtId="3" fontId="11" fillId="2" borderId="12" xfId="0" applyNumberFormat="1" applyFont="1" applyFill="1" applyBorder="1" applyAlignment="1">
      <alignment horizontal="center"/>
    </xf>
    <xf numFmtId="9" fontId="11" fillId="2" borderId="0" xfId="0" applyNumberFormat="1" applyFont="1" applyFill="1" applyBorder="1"/>
    <xf numFmtId="165" fontId="11" fillId="2" borderId="0" xfId="0" applyNumberFormat="1" applyFont="1" applyFill="1"/>
    <xf numFmtId="10" fontId="18" fillId="0" borderId="0" xfId="0" applyNumberFormat="1" applyFont="1"/>
    <xf numFmtId="10" fontId="6" fillId="2" borderId="13" xfId="0" applyNumberFormat="1" applyFont="1" applyFill="1" applyBorder="1" applyAlignment="1">
      <alignment horizontal="center"/>
    </xf>
    <xf numFmtId="10" fontId="6" fillId="2" borderId="1" xfId="0" applyNumberFormat="1" applyFont="1" applyFill="1" applyBorder="1" applyAlignment="1">
      <alignment horizontal="center"/>
    </xf>
    <xf numFmtId="9" fontId="6" fillId="2" borderId="6" xfId="0" applyNumberFormat="1" applyFont="1" applyFill="1" applyBorder="1" applyAlignment="1">
      <alignment horizontal="center"/>
    </xf>
    <xf numFmtId="10" fontId="6" fillId="2" borderId="3" xfId="0" applyNumberFormat="1" applyFont="1" applyFill="1" applyBorder="1" applyAlignment="1">
      <alignment horizontal="center"/>
    </xf>
    <xf numFmtId="9" fontId="6" fillId="2" borderId="8" xfId="0" applyNumberFormat="1" applyFont="1" applyFill="1" applyBorder="1" applyAlignment="1">
      <alignment horizontal="center"/>
    </xf>
    <xf numFmtId="10" fontId="18" fillId="0" borderId="11" xfId="0" applyNumberFormat="1" applyFont="1" applyBorder="1" applyAlignment="1">
      <alignment horizontal="center"/>
    </xf>
    <xf numFmtId="10" fontId="6" fillId="2" borderId="8" xfId="0" applyNumberFormat="1" applyFont="1" applyFill="1" applyBorder="1" applyAlignment="1">
      <alignment horizontal="center"/>
    </xf>
    <xf numFmtId="10" fontId="6" fillId="2" borderId="11" xfId="0" applyNumberFormat="1" applyFont="1" applyFill="1" applyBorder="1" applyAlignment="1">
      <alignment horizontal="center"/>
    </xf>
    <xf numFmtId="0" fontId="18" fillId="2" borderId="12" xfId="0" applyFont="1" applyFill="1" applyBorder="1" applyAlignment="1">
      <alignment horizontal="center"/>
    </xf>
    <xf numFmtId="10" fontId="6" fillId="2" borderId="10" xfId="0" applyNumberFormat="1" applyFont="1" applyFill="1" applyBorder="1" applyAlignment="1">
      <alignment horizontal="center"/>
    </xf>
    <xf numFmtId="0" fontId="6" fillId="4" borderId="1" xfId="0" applyFont="1" applyFill="1" applyBorder="1"/>
    <xf numFmtId="2" fontId="6" fillId="2" borderId="13" xfId="0" applyNumberFormat="1" applyFont="1" applyFill="1" applyBorder="1" applyAlignment="1">
      <alignment horizontal="center"/>
    </xf>
    <xf numFmtId="10" fontId="6" fillId="2" borderId="0" xfId="0" applyNumberFormat="1" applyFont="1" applyFill="1"/>
    <xf numFmtId="0" fontId="6" fillId="4" borderId="15" xfId="0" applyFont="1" applyFill="1" applyBorder="1"/>
    <xf numFmtId="0" fontId="6" fillId="4" borderId="13" xfId="0" applyFont="1" applyFill="1" applyBorder="1"/>
    <xf numFmtId="9" fontId="22" fillId="2" borderId="1" xfId="2" applyFont="1" applyFill="1" applyBorder="1" applyAlignment="1">
      <alignment horizontal="center" vertical="center"/>
    </xf>
    <xf numFmtId="170" fontId="22" fillId="2" borderId="0" xfId="0" applyNumberFormat="1" applyFont="1" applyFill="1" applyBorder="1" applyAlignment="1">
      <alignment horizontal="center" vertical="center"/>
    </xf>
    <xf numFmtId="170" fontId="22" fillId="2" borderId="1" xfId="0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0" fontId="23" fillId="2" borderId="0" xfId="0" applyFont="1" applyFill="1" applyBorder="1" applyAlignment="1">
      <alignment horizontal="left" vertical="center"/>
    </xf>
    <xf numFmtId="3" fontId="22" fillId="2" borderId="0" xfId="0" applyNumberFormat="1" applyFont="1" applyFill="1" applyBorder="1" applyAlignment="1">
      <alignment horizontal="center" vertical="center"/>
    </xf>
    <xf numFmtId="9" fontId="22" fillId="2" borderId="0" xfId="2" applyFont="1" applyFill="1" applyBorder="1" applyAlignment="1">
      <alignment horizontal="right" vertical="center"/>
    </xf>
    <xf numFmtId="170" fontId="23" fillId="2" borderId="0" xfId="0" applyNumberFormat="1" applyFont="1" applyFill="1" applyBorder="1" applyAlignment="1">
      <alignment horizontal="center" vertical="center"/>
    </xf>
    <xf numFmtId="3" fontId="22" fillId="2" borderId="1" xfId="0" applyNumberFormat="1" applyFont="1" applyFill="1" applyBorder="1" applyAlignment="1">
      <alignment horizontal="center" vertical="center"/>
    </xf>
    <xf numFmtId="1" fontId="22" fillId="2" borderId="0" xfId="0" applyNumberFormat="1" applyFont="1" applyFill="1" applyBorder="1" applyAlignment="1">
      <alignment horizontal="center" vertical="center"/>
    </xf>
    <xf numFmtId="3" fontId="6" fillId="2" borderId="0" xfId="0" applyNumberFormat="1" applyFont="1" applyFill="1"/>
    <xf numFmtId="0" fontId="21" fillId="2" borderId="0" xfId="0" applyFont="1" applyFill="1" applyBorder="1"/>
    <xf numFmtId="0" fontId="6" fillId="2" borderId="0" xfId="0" applyFont="1" applyFill="1" applyBorder="1" applyAlignment="1">
      <alignment horizontal="center"/>
    </xf>
    <xf numFmtId="3" fontId="6" fillId="2" borderId="0" xfId="0" applyNumberFormat="1" applyFont="1" applyFill="1" applyBorder="1" applyAlignment="1">
      <alignment horizontal="center"/>
    </xf>
    <xf numFmtId="0" fontId="11" fillId="4" borderId="1" xfId="0" applyFont="1" applyFill="1" applyBorder="1" applyAlignment="1">
      <alignment horizontal="left" vertical="center"/>
    </xf>
    <xf numFmtId="0" fontId="11" fillId="4" borderId="1" xfId="0" applyFont="1" applyFill="1" applyBorder="1" applyAlignment="1">
      <alignment horizontal="left" vertical="center" wrapText="1"/>
    </xf>
    <xf numFmtId="0" fontId="21" fillId="4" borderId="14" xfId="0" applyFont="1" applyFill="1" applyBorder="1" applyAlignment="1">
      <alignment horizontal="center"/>
    </xf>
    <xf numFmtId="165" fontId="6" fillId="2" borderId="0" xfId="1" applyNumberFormat="1" applyFont="1" applyFill="1" applyBorder="1" applyAlignment="1">
      <alignment horizontal="center"/>
    </xf>
    <xf numFmtId="165" fontId="6" fillId="2" borderId="8" xfId="1" applyNumberFormat="1" applyFont="1" applyFill="1" applyBorder="1" applyAlignment="1">
      <alignment horizontal="center"/>
    </xf>
    <xf numFmtId="165" fontId="6" fillId="2" borderId="10" xfId="1" applyNumberFormat="1" applyFont="1" applyFill="1" applyBorder="1" applyAlignment="1">
      <alignment horizontal="center"/>
    </xf>
    <xf numFmtId="0" fontId="21" fillId="5" borderId="3" xfId="0" applyFont="1" applyFill="1" applyBorder="1"/>
    <xf numFmtId="165" fontId="21" fillId="5" borderId="5" xfId="1" applyNumberFormat="1" applyFont="1" applyFill="1" applyBorder="1" applyAlignment="1">
      <alignment horizontal="center"/>
    </xf>
    <xf numFmtId="165" fontId="21" fillId="5" borderId="6" xfId="1" applyNumberFormat="1" applyFont="1" applyFill="1" applyBorder="1" applyAlignment="1">
      <alignment horizontal="center"/>
    </xf>
    <xf numFmtId="0" fontId="21" fillId="5" borderId="12" xfId="0" applyFont="1" applyFill="1" applyBorder="1"/>
    <xf numFmtId="9" fontId="21" fillId="5" borderId="2" xfId="2" applyFont="1" applyFill="1" applyBorder="1" applyAlignment="1">
      <alignment horizontal="center"/>
    </xf>
    <xf numFmtId="9" fontId="21" fillId="5" borderId="10" xfId="2" applyFont="1" applyFill="1" applyBorder="1" applyAlignment="1">
      <alignment horizontal="center"/>
    </xf>
    <xf numFmtId="0" fontId="6" fillId="2" borderId="9" xfId="0" applyFont="1" applyFill="1" applyBorder="1"/>
    <xf numFmtId="165" fontId="21" fillId="2" borderId="0" xfId="1" applyNumberFormat="1" applyFont="1" applyFill="1" applyBorder="1" applyAlignment="1">
      <alignment horizontal="center"/>
    </xf>
    <xf numFmtId="165" fontId="21" fillId="2" borderId="10" xfId="1" applyNumberFormat="1" applyFont="1" applyFill="1" applyBorder="1" applyAlignment="1">
      <alignment horizontal="center"/>
    </xf>
    <xf numFmtId="9" fontId="21" fillId="2" borderId="0" xfId="2" applyFont="1" applyFill="1" applyBorder="1" applyAlignment="1">
      <alignment horizontal="center"/>
    </xf>
    <xf numFmtId="3" fontId="6" fillId="2" borderId="4" xfId="0" applyNumberFormat="1" applyFont="1" applyFill="1" applyBorder="1" applyAlignment="1">
      <alignment horizontal="center"/>
    </xf>
    <xf numFmtId="3" fontId="6" fillId="2" borderId="5" xfId="0" applyNumberFormat="1" applyFont="1" applyFill="1" applyBorder="1" applyAlignment="1">
      <alignment horizontal="center"/>
    </xf>
    <xf numFmtId="3" fontId="6" fillId="2" borderId="6" xfId="0" applyNumberFormat="1" applyFont="1" applyFill="1" applyBorder="1" applyAlignment="1">
      <alignment horizontal="center"/>
    </xf>
    <xf numFmtId="0" fontId="6" fillId="2" borderId="7" xfId="0" applyFont="1" applyFill="1" applyBorder="1"/>
    <xf numFmtId="3" fontId="6" fillId="2" borderId="8" xfId="0" applyNumberFormat="1" applyFont="1" applyFill="1" applyBorder="1" applyAlignment="1">
      <alignment horizontal="center"/>
    </xf>
    <xf numFmtId="9" fontId="6" fillId="2" borderId="0" xfId="0" applyNumberFormat="1" applyFont="1" applyFill="1"/>
    <xf numFmtId="175" fontId="6" fillId="2" borderId="0" xfId="0" applyNumberFormat="1" applyFont="1" applyFill="1"/>
    <xf numFmtId="0" fontId="21" fillId="4" borderId="5" xfId="0" applyFont="1" applyFill="1" applyBorder="1" applyAlignment="1">
      <alignment horizontal="center"/>
    </xf>
    <xf numFmtId="0" fontId="21" fillId="4" borderId="0" xfId="0" applyFont="1" applyFill="1" applyBorder="1" applyAlignment="1">
      <alignment horizontal="center"/>
    </xf>
    <xf numFmtId="0" fontId="21" fillId="5" borderId="5" xfId="0" applyFont="1" applyFill="1" applyBorder="1" applyAlignment="1">
      <alignment horizontal="center"/>
    </xf>
    <xf numFmtId="10" fontId="21" fillId="2" borderId="0" xfId="0" applyNumberFormat="1" applyFont="1" applyFill="1" applyAlignment="1">
      <alignment horizontal="center"/>
    </xf>
    <xf numFmtId="1" fontId="21" fillId="2" borderId="0" xfId="0" applyNumberFormat="1" applyFont="1" applyFill="1" applyBorder="1" applyAlignment="1">
      <alignment horizontal="center"/>
    </xf>
    <xf numFmtId="1" fontId="21" fillId="5" borderId="5" xfId="0" applyNumberFormat="1" applyFont="1" applyFill="1" applyBorder="1" applyAlignment="1">
      <alignment horizontal="center"/>
    </xf>
    <xf numFmtId="1" fontId="21" fillId="2" borderId="0" xfId="2" applyNumberFormat="1" applyFont="1" applyFill="1" applyBorder="1" applyAlignment="1">
      <alignment horizontal="center"/>
    </xf>
    <xf numFmtId="3" fontId="6" fillId="2" borderId="10" xfId="0" applyNumberFormat="1" applyFont="1" applyFill="1" applyBorder="1" applyAlignment="1">
      <alignment horizontal="center"/>
    </xf>
    <xf numFmtId="0" fontId="21" fillId="5" borderId="4" xfId="0" applyFont="1" applyFill="1" applyBorder="1"/>
    <xf numFmtId="0" fontId="21" fillId="5" borderId="7" xfId="0" applyFont="1" applyFill="1" applyBorder="1"/>
    <xf numFmtId="0" fontId="21" fillId="5" borderId="9" xfId="0" applyFont="1" applyFill="1" applyBorder="1"/>
    <xf numFmtId="3" fontId="21" fillId="5" borderId="1" xfId="0" applyNumberFormat="1" applyFont="1" applyFill="1" applyBorder="1" applyAlignment="1">
      <alignment horizontal="center"/>
    </xf>
    <xf numFmtId="3" fontId="21" fillId="5" borderId="13" xfId="0" applyNumberFormat="1" applyFont="1" applyFill="1" applyBorder="1" applyAlignment="1">
      <alignment horizontal="center"/>
    </xf>
    <xf numFmtId="10" fontId="6" fillId="2" borderId="0" xfId="2" applyNumberFormat="1" applyFont="1" applyFill="1"/>
    <xf numFmtId="1" fontId="6" fillId="2" borderId="0" xfId="0" applyNumberFormat="1" applyFont="1" applyFill="1"/>
    <xf numFmtId="0" fontId="6" fillId="4" borderId="14" xfId="0" applyFont="1" applyFill="1" applyBorder="1"/>
    <xf numFmtId="0" fontId="21" fillId="3" borderId="3" xfId="0" applyFont="1" applyFill="1" applyBorder="1" applyAlignment="1">
      <alignment horizontal="center"/>
    </xf>
    <xf numFmtId="0" fontId="21" fillId="4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21" fillId="4" borderId="11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21" fillId="4" borderId="12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3" fontId="6" fillId="2" borderId="9" xfId="0" applyNumberFormat="1" applyFont="1" applyFill="1" applyBorder="1" applyAlignment="1">
      <alignment horizontal="center"/>
    </xf>
    <xf numFmtId="0" fontId="21" fillId="3" borderId="6" xfId="0" applyFont="1" applyFill="1" applyBorder="1" applyAlignment="1">
      <alignment horizontal="center"/>
    </xf>
    <xf numFmtId="0" fontId="6" fillId="2" borderId="4" xfId="0" applyFont="1" applyFill="1" applyBorder="1"/>
    <xf numFmtId="0" fontId="6" fillId="2" borderId="8" xfId="0" applyFont="1" applyFill="1" applyBorder="1" applyAlignment="1">
      <alignment horizontal="center"/>
    </xf>
    <xf numFmtId="3" fontId="6" fillId="2" borderId="2" xfId="0" applyNumberFormat="1" applyFont="1" applyFill="1" applyBorder="1" applyAlignment="1">
      <alignment horizontal="center"/>
    </xf>
    <xf numFmtId="0" fontId="21" fillId="4" borderId="13" xfId="0" applyFont="1" applyFill="1" applyBorder="1" applyAlignment="1">
      <alignment horizontal="center"/>
    </xf>
    <xf numFmtId="0" fontId="6" fillId="2" borderId="15" xfId="0" applyFont="1" applyFill="1" applyBorder="1"/>
    <xf numFmtId="3" fontId="6" fillId="2" borderId="15" xfId="0" applyNumberFormat="1" applyFont="1" applyFill="1" applyBorder="1" applyAlignment="1">
      <alignment horizontal="center"/>
    </xf>
    <xf numFmtId="3" fontId="6" fillId="4" borderId="15" xfId="0" applyNumberFormat="1" applyFont="1" applyFill="1" applyBorder="1" applyAlignment="1">
      <alignment horizontal="center"/>
    </xf>
    <xf numFmtId="0" fontId="21" fillId="2" borderId="8" xfId="0" applyFont="1" applyFill="1" applyBorder="1" applyAlignment="1">
      <alignment horizontal="center"/>
    </xf>
    <xf numFmtId="3" fontId="21" fillId="5" borderId="1" xfId="0" applyNumberFormat="1" applyFont="1" applyFill="1" applyBorder="1" applyAlignment="1">
      <alignment horizontal="center" vertical="center"/>
    </xf>
    <xf numFmtId="3" fontId="21" fillId="2" borderId="1" xfId="0" applyNumberFormat="1" applyFont="1" applyFill="1" applyBorder="1" applyAlignment="1">
      <alignment horizontal="center"/>
    </xf>
    <xf numFmtId="0" fontId="21" fillId="5" borderId="14" xfId="0" applyFont="1" applyFill="1" applyBorder="1"/>
    <xf numFmtId="0" fontId="6" fillId="5" borderId="15" xfId="0" applyFont="1" applyFill="1" applyBorder="1"/>
    <xf numFmtId="0" fontId="6" fillId="5" borderId="13" xfId="0" applyFont="1" applyFill="1" applyBorder="1"/>
    <xf numFmtId="0" fontId="21" fillId="5" borderId="1" xfId="0" applyFont="1" applyFill="1" applyBorder="1" applyAlignment="1">
      <alignment horizontal="center"/>
    </xf>
    <xf numFmtId="9" fontId="21" fillId="2" borderId="1" xfId="2" applyFont="1" applyFill="1" applyBorder="1" applyAlignment="1">
      <alignment horizontal="center"/>
    </xf>
    <xf numFmtId="2" fontId="6" fillId="2" borderId="0" xfId="0" applyNumberFormat="1" applyFont="1" applyFill="1"/>
    <xf numFmtId="0" fontId="22" fillId="5" borderId="14" xfId="0" applyFont="1" applyFill="1" applyBorder="1" applyAlignment="1">
      <alignment horizontal="center" vertical="center"/>
    </xf>
    <xf numFmtId="0" fontId="23" fillId="5" borderId="14" xfId="0" applyFont="1" applyFill="1" applyBorder="1" applyAlignment="1">
      <alignment horizontal="left" vertical="center" wrapText="1"/>
    </xf>
    <xf numFmtId="9" fontId="23" fillId="5" borderId="1" xfId="2" applyFont="1" applyFill="1" applyBorder="1" applyAlignment="1">
      <alignment horizontal="center" vertical="center"/>
    </xf>
    <xf numFmtId="0" fontId="22" fillId="5" borderId="14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3" fillId="5" borderId="3" xfId="0" applyFont="1" applyFill="1" applyBorder="1" applyAlignment="1">
      <alignment horizontal="center" vertical="center"/>
    </xf>
    <xf numFmtId="3" fontId="23" fillId="2" borderId="1" xfId="0" applyNumberFormat="1" applyFont="1" applyFill="1" applyBorder="1" applyAlignment="1">
      <alignment horizontal="center" vertical="center"/>
    </xf>
    <xf numFmtId="0" fontId="23" fillId="5" borderId="14" xfId="0" applyFont="1" applyFill="1" applyBorder="1" applyAlignment="1">
      <alignment horizontal="center" vertical="center" wrapText="1"/>
    </xf>
    <xf numFmtId="3" fontId="23" fillId="5" borderId="3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4" fillId="2" borderId="0" xfId="5" applyFont="1" applyFill="1" applyBorder="1" applyAlignment="1">
      <alignment horizontal="center" vertical="center" wrapText="1"/>
    </xf>
    <xf numFmtId="9" fontId="11" fillId="2" borderId="0" xfId="2" applyFont="1" applyFill="1" applyBorder="1" applyAlignment="1">
      <alignment vertical="center"/>
    </xf>
    <xf numFmtId="0" fontId="15" fillId="2" borderId="0" xfId="5" applyFont="1" applyFill="1" applyBorder="1" applyAlignment="1">
      <alignment horizontal="center" vertical="center" wrapText="1"/>
    </xf>
    <xf numFmtId="3" fontId="11" fillId="2" borderId="1" xfId="2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0" fontId="12" fillId="5" borderId="13" xfId="0" applyFont="1" applyFill="1" applyBorder="1"/>
    <xf numFmtId="0" fontId="10" fillId="5" borderId="7" xfId="0" applyFont="1" applyFill="1" applyBorder="1" applyAlignment="1">
      <alignment vertical="center"/>
    </xf>
    <xf numFmtId="0" fontId="10" fillId="5" borderId="9" xfId="0" applyFont="1" applyFill="1" applyBorder="1" applyAlignment="1">
      <alignment vertical="center"/>
    </xf>
    <xf numFmtId="0" fontId="11" fillId="5" borderId="13" xfId="0" applyFont="1" applyFill="1" applyBorder="1" applyAlignment="1">
      <alignment horizontal="center" vertical="center"/>
    </xf>
    <xf numFmtId="9" fontId="11" fillId="5" borderId="1" xfId="2" applyFont="1" applyFill="1" applyBorder="1" applyAlignment="1">
      <alignment horizontal="center" vertical="center"/>
    </xf>
    <xf numFmtId="0" fontId="10" fillId="5" borderId="33" xfId="0" applyFont="1" applyFill="1" applyBorder="1" applyAlignment="1">
      <alignment horizontal="center" vertical="center"/>
    </xf>
    <xf numFmtId="0" fontId="10" fillId="5" borderId="18" xfId="0" applyFont="1" applyFill="1" applyBorder="1" applyAlignment="1">
      <alignment horizontal="center" vertical="center"/>
    </xf>
    <xf numFmtId="0" fontId="14" fillId="5" borderId="1" xfId="5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10" fillId="5" borderId="19" xfId="0" applyFont="1" applyFill="1" applyBorder="1" applyAlignment="1">
      <alignment horizontal="center" vertical="center"/>
    </xf>
    <xf numFmtId="168" fontId="10" fillId="5" borderId="15" xfId="0" applyNumberFormat="1" applyFont="1" applyFill="1" applyBorder="1" applyAlignment="1">
      <alignment horizontal="center" vertical="center"/>
    </xf>
    <xf numFmtId="168" fontId="10" fillId="5" borderId="14" xfId="0" applyNumberFormat="1" applyFont="1" applyFill="1" applyBorder="1" applyAlignment="1">
      <alignment horizontal="center" vertical="center"/>
    </xf>
    <xf numFmtId="168" fontId="10" fillId="5" borderId="1" xfId="0" applyNumberFormat="1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3" fontId="10" fillId="4" borderId="1" xfId="0" applyNumberFormat="1" applyFont="1" applyFill="1" applyBorder="1" applyAlignment="1">
      <alignment horizontal="center" vertical="center"/>
    </xf>
    <xf numFmtId="9" fontId="12" fillId="5" borderId="1" xfId="2" applyFont="1" applyFill="1" applyBorder="1" applyAlignment="1">
      <alignment horizontal="center" vertical="center"/>
    </xf>
    <xf numFmtId="3" fontId="11" fillId="2" borderId="2" xfId="0" applyNumberFormat="1" applyFont="1" applyFill="1" applyBorder="1" applyAlignment="1">
      <alignment horizontal="center"/>
    </xf>
    <xf numFmtId="165" fontId="6" fillId="2" borderId="0" xfId="0" applyNumberFormat="1" applyFont="1" applyFill="1"/>
    <xf numFmtId="3" fontId="9" fillId="2" borderId="0" xfId="0" applyNumberFormat="1" applyFont="1" applyFill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3" fontId="10" fillId="2" borderId="0" xfId="0" applyNumberFormat="1" applyFont="1" applyFill="1" applyBorder="1" applyAlignment="1">
      <alignment horizontal="center" vertical="center"/>
    </xf>
    <xf numFmtId="171" fontId="10" fillId="5" borderId="1" xfId="0" applyNumberFormat="1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center" vertical="center"/>
    </xf>
    <xf numFmtId="0" fontId="10" fillId="5" borderId="20" xfId="0" applyFont="1" applyFill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center" vertical="center"/>
    </xf>
    <xf numFmtId="3" fontId="9" fillId="2" borderId="20" xfId="0" applyNumberFormat="1" applyFont="1" applyFill="1" applyBorder="1" applyAlignment="1">
      <alignment horizontal="center" vertical="center" wrapText="1"/>
    </xf>
    <xf numFmtId="3" fontId="10" fillId="5" borderId="20" xfId="0" applyNumberFormat="1" applyFont="1" applyFill="1" applyBorder="1" applyAlignment="1">
      <alignment horizontal="center" vertical="center" wrapText="1"/>
    </xf>
    <xf numFmtId="3" fontId="9" fillId="2" borderId="1" xfId="0" applyNumberFormat="1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/>
    </xf>
    <xf numFmtId="3" fontId="10" fillId="5" borderId="20" xfId="0" applyNumberFormat="1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/>
    </xf>
    <xf numFmtId="0" fontId="10" fillId="3" borderId="20" xfId="0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/>
    </xf>
    <xf numFmtId="3" fontId="10" fillId="5" borderId="25" xfId="0" applyNumberFormat="1" applyFont="1" applyFill="1" applyBorder="1" applyAlignment="1">
      <alignment horizontal="center" vertical="center"/>
    </xf>
    <xf numFmtId="3" fontId="9" fillId="6" borderId="20" xfId="0" applyNumberFormat="1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/>
    </xf>
    <xf numFmtId="3" fontId="6" fillId="2" borderId="13" xfId="0" applyNumberFormat="1" applyFont="1" applyFill="1" applyBorder="1" applyAlignment="1">
      <alignment horizontal="center"/>
    </xf>
    <xf numFmtId="3" fontId="9" fillId="2" borderId="5" xfId="0" applyNumberFormat="1" applyFont="1" applyFill="1" applyBorder="1" applyAlignment="1">
      <alignment horizontal="center"/>
    </xf>
    <xf numFmtId="165" fontId="9" fillId="2" borderId="0" xfId="0" applyNumberFormat="1" applyFont="1" applyFill="1" applyBorder="1" applyAlignment="1">
      <alignment horizontal="center"/>
    </xf>
    <xf numFmtId="165" fontId="9" fillId="2" borderId="8" xfId="0" applyNumberFormat="1" applyFont="1" applyFill="1" applyBorder="1" applyAlignment="1">
      <alignment horizontal="center"/>
    </xf>
    <xf numFmtId="3" fontId="9" fillId="2" borderId="2" xfId="0" applyNumberFormat="1" applyFont="1" applyFill="1" applyBorder="1" applyAlignment="1">
      <alignment horizontal="center"/>
    </xf>
    <xf numFmtId="3" fontId="9" fillId="2" borderId="10" xfId="0" applyNumberFormat="1" applyFont="1" applyFill="1" applyBorder="1" applyAlignment="1">
      <alignment horizontal="center"/>
    </xf>
    <xf numFmtId="165" fontId="9" fillId="2" borderId="15" xfId="0" applyNumberFormat="1" applyFont="1" applyFill="1" applyBorder="1" applyAlignment="1">
      <alignment horizontal="center"/>
    </xf>
    <xf numFmtId="165" fontId="9" fillId="2" borderId="13" xfId="0" applyNumberFormat="1" applyFont="1" applyFill="1" applyBorder="1" applyAlignment="1">
      <alignment horizontal="center"/>
    </xf>
    <xf numFmtId="0" fontId="6" fillId="2" borderId="0" xfId="0" applyFont="1" applyFill="1" applyAlignment="1">
      <alignment wrapText="1"/>
    </xf>
    <xf numFmtId="0" fontId="6" fillId="2" borderId="0" xfId="0" applyFont="1" applyFill="1" applyBorder="1" applyAlignment="1">
      <alignment horizontal="center"/>
    </xf>
    <xf numFmtId="3" fontId="6" fillId="4" borderId="13" xfId="0" applyNumberFormat="1" applyFont="1" applyFill="1" applyBorder="1" applyAlignment="1">
      <alignment horizontal="center"/>
    </xf>
    <xf numFmtId="10" fontId="6" fillId="4" borderId="15" xfId="0" applyNumberFormat="1" applyFont="1" applyFill="1" applyBorder="1"/>
    <xf numFmtId="0" fontId="11" fillId="2" borderId="9" xfId="0" applyFont="1" applyFill="1" applyBorder="1"/>
    <xf numFmtId="0" fontId="11" fillId="13" borderId="11" xfId="0" applyFont="1" applyFill="1" applyBorder="1"/>
    <xf numFmtId="0" fontId="11" fillId="13" borderId="12" xfId="0" applyFont="1" applyFill="1" applyBorder="1"/>
    <xf numFmtId="0" fontId="9" fillId="5" borderId="15" xfId="0" applyFont="1" applyFill="1" applyBorder="1" applyAlignment="1">
      <alignment horizontal="center"/>
    </xf>
    <xf numFmtId="0" fontId="9" fillId="5" borderId="13" xfId="0" applyFont="1" applyFill="1" applyBorder="1" applyAlignment="1">
      <alignment horizontal="center"/>
    </xf>
    <xf numFmtId="10" fontId="11" fillId="2" borderId="10" xfId="0" applyNumberFormat="1" applyFont="1" applyFill="1" applyBorder="1" applyAlignment="1">
      <alignment horizontal="center"/>
    </xf>
    <xf numFmtId="0" fontId="21" fillId="5" borderId="13" xfId="0" applyFont="1" applyFill="1" applyBorder="1" applyAlignment="1">
      <alignment horizontal="center"/>
    </xf>
    <xf numFmtId="3" fontId="21" fillId="5" borderId="15" xfId="0" applyNumberFormat="1" applyFont="1" applyFill="1" applyBorder="1" applyAlignment="1">
      <alignment horizontal="center"/>
    </xf>
    <xf numFmtId="3" fontId="9" fillId="2" borderId="0" xfId="0" applyNumberFormat="1" applyFont="1" applyFill="1" applyBorder="1" applyAlignment="1">
      <alignment horizontal="center" vertical="center"/>
    </xf>
    <xf numFmtId="168" fontId="10" fillId="2" borderId="0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/>
    </xf>
    <xf numFmtId="0" fontId="11" fillId="2" borderId="14" xfId="0" applyFont="1" applyFill="1" applyBorder="1" applyAlignment="1">
      <alignment horizontal="left" vertical="center" wrapText="1"/>
    </xf>
    <xf numFmtId="3" fontId="26" fillId="2" borderId="1" xfId="0" applyNumberFormat="1" applyFont="1" applyFill="1" applyBorder="1" applyAlignment="1">
      <alignment horizontal="center"/>
    </xf>
    <xf numFmtId="0" fontId="28" fillId="2" borderId="0" xfId="0" applyFont="1" applyFill="1" applyBorder="1"/>
    <xf numFmtId="3" fontId="29" fillId="2" borderId="0" xfId="0" applyNumberFormat="1" applyFont="1" applyFill="1" applyBorder="1" applyAlignment="1">
      <alignment horizontal="center"/>
    </xf>
    <xf numFmtId="9" fontId="28" fillId="2" borderId="0" xfId="0" applyNumberFormat="1" applyFont="1" applyFill="1" applyBorder="1"/>
    <xf numFmtId="0" fontId="27" fillId="2" borderId="0" xfId="0" applyFont="1" applyFill="1"/>
    <xf numFmtId="167" fontId="21" fillId="2" borderId="0" xfId="1" applyNumberFormat="1" applyFont="1" applyFill="1" applyBorder="1" applyAlignment="1">
      <alignment horizontal="center"/>
    </xf>
    <xf numFmtId="0" fontId="11" fillId="0" borderId="0" xfId="0" applyFont="1"/>
    <xf numFmtId="0" fontId="32" fillId="15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vertical="top" wrapText="1"/>
    </xf>
    <xf numFmtId="0" fontId="11" fillId="0" borderId="15" xfId="0" applyFont="1" applyFill="1" applyBorder="1" applyAlignment="1"/>
    <xf numFmtId="0" fontId="31" fillId="16" borderId="2" xfId="0" applyFont="1" applyFill="1" applyBorder="1" applyAlignment="1">
      <alignment horizontal="left"/>
    </xf>
    <xf numFmtId="0" fontId="33" fillId="17" borderId="15" xfId="0" applyFont="1" applyFill="1" applyBorder="1" applyAlignment="1">
      <alignment horizontal="left"/>
    </xf>
    <xf numFmtId="0" fontId="32" fillId="17" borderId="0" xfId="0" applyFont="1" applyFill="1" applyBorder="1" applyAlignment="1">
      <alignment horizontal="left"/>
    </xf>
    <xf numFmtId="0" fontId="25" fillId="13" borderId="3" xfId="0" applyFont="1" applyFill="1" applyBorder="1"/>
    <xf numFmtId="0" fontId="6" fillId="13" borderId="11" xfId="0" applyFont="1" applyFill="1" applyBorder="1"/>
    <xf numFmtId="0" fontId="25" fillId="13" borderId="11" xfId="0" applyFont="1" applyFill="1" applyBorder="1"/>
    <xf numFmtId="0" fontId="21" fillId="13" borderId="5" xfId="0" applyFont="1" applyFill="1" applyBorder="1" applyAlignment="1">
      <alignment horizontal="center"/>
    </xf>
    <xf numFmtId="165" fontId="21" fillId="13" borderId="5" xfId="1" applyNumberFormat="1" applyFont="1" applyFill="1" applyBorder="1" applyAlignment="1">
      <alignment horizontal="center"/>
    </xf>
    <xf numFmtId="165" fontId="21" fillId="13" borderId="6" xfId="1" applyNumberFormat="1" applyFont="1" applyFill="1" applyBorder="1" applyAlignment="1">
      <alignment horizontal="center"/>
    </xf>
    <xf numFmtId="0" fontId="21" fillId="13" borderId="0" xfId="0" applyFont="1" applyFill="1" applyBorder="1" applyAlignment="1">
      <alignment horizontal="center"/>
    </xf>
    <xf numFmtId="165" fontId="21" fillId="13" borderId="0" xfId="1" applyNumberFormat="1" applyFont="1" applyFill="1" applyBorder="1" applyAlignment="1">
      <alignment horizontal="center"/>
    </xf>
    <xf numFmtId="165" fontId="21" fillId="13" borderId="8" xfId="1" applyNumberFormat="1" applyFont="1" applyFill="1" applyBorder="1" applyAlignment="1">
      <alignment horizontal="center"/>
    </xf>
    <xf numFmtId="3" fontId="6" fillId="13" borderId="1" xfId="0" applyNumberFormat="1" applyFont="1" applyFill="1" applyBorder="1" applyAlignment="1">
      <alignment horizontal="center"/>
    </xf>
    <xf numFmtId="3" fontId="21" fillId="13" borderId="1" xfId="0" applyNumberFormat="1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center"/>
    </xf>
    <xf numFmtId="0" fontId="11" fillId="0" borderId="15" xfId="0" applyFont="1" applyFill="1" applyBorder="1" applyAlignment="1">
      <alignment horizontal="center"/>
    </xf>
    <xf numFmtId="10" fontId="11" fillId="0" borderId="0" xfId="0" applyNumberFormat="1" applyFont="1" applyFill="1" applyBorder="1" applyAlignment="1">
      <alignment horizontal="center"/>
    </xf>
    <xf numFmtId="3" fontId="11" fillId="18" borderId="0" xfId="0" applyNumberFormat="1" applyFont="1" applyFill="1" applyBorder="1" applyAlignment="1">
      <alignment horizontal="center"/>
    </xf>
    <xf numFmtId="0" fontId="11" fillId="18" borderId="0" xfId="0" applyFont="1" applyFill="1" applyBorder="1" applyAlignment="1">
      <alignment horizontal="center"/>
    </xf>
    <xf numFmtId="0" fontId="21" fillId="2" borderId="14" xfId="0" applyFont="1" applyFill="1" applyBorder="1" applyAlignment="1">
      <alignment horizontal="center"/>
    </xf>
    <xf numFmtId="10" fontId="21" fillId="2" borderId="13" xfId="2" applyNumberFormat="1" applyFont="1" applyFill="1" applyBorder="1" applyAlignment="1">
      <alignment horizontal="center"/>
    </xf>
    <xf numFmtId="10" fontId="21" fillId="2" borderId="1" xfId="2" applyNumberFormat="1" applyFont="1" applyFill="1" applyBorder="1" applyAlignment="1">
      <alignment horizontal="center"/>
    </xf>
    <xf numFmtId="3" fontId="26" fillId="2" borderId="14" xfId="0" applyNumberFormat="1" applyFont="1" applyFill="1" applyBorder="1" applyAlignment="1">
      <alignment horizontal="center" vertical="center"/>
    </xf>
    <xf numFmtId="3" fontId="21" fillId="2" borderId="14" xfId="0" applyNumberFormat="1" applyFont="1" applyFill="1" applyBorder="1" applyAlignment="1">
      <alignment horizontal="center" vertical="center"/>
    </xf>
    <xf numFmtId="3" fontId="21" fillId="2" borderId="1" xfId="0" applyNumberFormat="1" applyFont="1" applyFill="1" applyBorder="1" applyAlignment="1">
      <alignment horizontal="center" vertical="center"/>
    </xf>
    <xf numFmtId="3" fontId="6" fillId="2" borderId="9" xfId="0" applyNumberFormat="1" applyFont="1" applyFill="1" applyBorder="1" applyAlignment="1">
      <alignment horizontal="center" vertical="center"/>
    </xf>
    <xf numFmtId="3" fontId="26" fillId="2" borderId="9" xfId="0" applyNumberFormat="1" applyFont="1" applyFill="1" applyBorder="1" applyAlignment="1">
      <alignment horizontal="center" vertical="center"/>
    </xf>
    <xf numFmtId="3" fontId="26" fillId="2" borderId="12" xfId="0" applyNumberFormat="1" applyFont="1" applyFill="1" applyBorder="1" applyAlignment="1">
      <alignment horizontal="center" vertical="center"/>
    </xf>
    <xf numFmtId="3" fontId="26" fillId="5" borderId="1" xfId="0" applyNumberFormat="1" applyFont="1" applyFill="1" applyBorder="1" applyAlignment="1">
      <alignment horizontal="center" vertical="center"/>
    </xf>
    <xf numFmtId="0" fontId="6" fillId="5" borderId="1" xfId="0" applyFont="1" applyFill="1" applyBorder="1"/>
    <xf numFmtId="0" fontId="6" fillId="5" borderId="3" xfId="0" applyFont="1" applyFill="1" applyBorder="1"/>
    <xf numFmtId="0" fontId="6" fillId="5" borderId="11" xfId="0" applyFont="1" applyFill="1" applyBorder="1"/>
    <xf numFmtId="0" fontId="6" fillId="5" borderId="12" xfId="0" applyFont="1" applyFill="1" applyBorder="1"/>
    <xf numFmtId="0" fontId="6" fillId="5" borderId="4" xfId="0" applyFont="1" applyFill="1" applyBorder="1"/>
    <xf numFmtId="0" fontId="6" fillId="5" borderId="7" xfId="0" applyFont="1" applyFill="1" applyBorder="1"/>
    <xf numFmtId="0" fontId="6" fillId="5" borderId="9" xfId="0" applyFont="1" applyFill="1" applyBorder="1"/>
    <xf numFmtId="0" fontId="21" fillId="5" borderId="4" xfId="0" applyFont="1" applyFill="1" applyBorder="1" applyAlignment="1"/>
    <xf numFmtId="0" fontId="6" fillId="2" borderId="0" xfId="0" applyFont="1" applyFill="1" applyAlignment="1"/>
    <xf numFmtId="0" fontId="21" fillId="5" borderId="7" xfId="0" applyFont="1" applyFill="1" applyBorder="1" applyAlignment="1"/>
    <xf numFmtId="0" fontId="21" fillId="5" borderId="9" xfId="0" applyFont="1" applyFill="1" applyBorder="1" applyAlignment="1"/>
    <xf numFmtId="0" fontId="21" fillId="5" borderId="4" xfId="0" applyFont="1" applyFill="1" applyBorder="1" applyAlignment="1">
      <alignment horizontal="left" vertical="center"/>
    </xf>
    <xf numFmtId="0" fontId="21" fillId="5" borderId="7" xfId="0" applyFont="1" applyFill="1" applyBorder="1" applyAlignment="1">
      <alignment horizontal="left" vertical="center"/>
    </xf>
    <xf numFmtId="0" fontId="21" fillId="5" borderId="9" xfId="0" applyFont="1" applyFill="1" applyBorder="1" applyAlignment="1">
      <alignment horizontal="left" vertical="center"/>
    </xf>
    <xf numFmtId="0" fontId="21" fillId="2" borderId="4" xfId="0" applyFont="1" applyFill="1" applyBorder="1" applyAlignment="1">
      <alignment horizontal="left" vertical="center"/>
    </xf>
    <xf numFmtId="0" fontId="6" fillId="2" borderId="14" xfId="0" applyFont="1" applyFill="1" applyBorder="1" applyAlignment="1">
      <alignment horizontal="left" vertical="center"/>
    </xf>
    <xf numFmtId="0" fontId="6" fillId="13" borderId="12" xfId="0" applyFont="1" applyFill="1" applyBorder="1"/>
    <xf numFmtId="9" fontId="21" fillId="2" borderId="0" xfId="2" applyNumberFormat="1" applyFont="1" applyFill="1" applyBorder="1" applyAlignment="1">
      <alignment horizontal="center"/>
    </xf>
    <xf numFmtId="9" fontId="6" fillId="2" borderId="0" xfId="2" applyNumberFormat="1" applyFont="1" applyFill="1" applyAlignment="1">
      <alignment horizontal="center"/>
    </xf>
    <xf numFmtId="0" fontId="12" fillId="5" borderId="1" xfId="0" applyFont="1" applyFill="1" applyBorder="1" applyAlignment="1">
      <alignment horizontal="center" vertical="center"/>
    </xf>
    <xf numFmtId="3" fontId="6" fillId="2" borderId="3" xfId="0" applyNumberFormat="1" applyFont="1" applyFill="1" applyBorder="1" applyAlignment="1">
      <alignment horizontal="center"/>
    </xf>
    <xf numFmtId="3" fontId="6" fillId="2" borderId="11" xfId="0" applyNumberFormat="1" applyFont="1" applyFill="1" applyBorder="1" applyAlignment="1">
      <alignment horizontal="center"/>
    </xf>
    <xf numFmtId="3" fontId="6" fillId="2" borderId="12" xfId="0" applyNumberFormat="1" applyFont="1" applyFill="1" applyBorder="1" applyAlignment="1">
      <alignment horizontal="center"/>
    </xf>
    <xf numFmtId="3" fontId="6" fillId="2" borderId="14" xfId="0" applyNumberFormat="1" applyFont="1" applyFill="1" applyBorder="1" applyAlignment="1">
      <alignment horizontal="center"/>
    </xf>
    <xf numFmtId="3" fontId="6" fillId="2" borderId="1" xfId="0" applyNumberFormat="1" applyFont="1" applyFill="1" applyBorder="1" applyAlignment="1">
      <alignment horizontal="center"/>
    </xf>
    <xf numFmtId="2" fontId="11" fillId="2" borderId="0" xfId="0" applyNumberFormat="1" applyFont="1" applyFill="1"/>
    <xf numFmtId="0" fontId="21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3" fontId="10" fillId="5" borderId="14" xfId="0" applyNumberFormat="1" applyFont="1" applyFill="1" applyBorder="1" applyAlignment="1">
      <alignment horizontal="center" vertical="center"/>
    </xf>
    <xf numFmtId="3" fontId="10" fillId="5" borderId="13" xfId="0" applyNumberFormat="1" applyFont="1" applyFill="1" applyBorder="1" applyAlignment="1">
      <alignment horizontal="center" vertical="center"/>
    </xf>
    <xf numFmtId="3" fontId="9" fillId="10" borderId="22" xfId="0" applyNumberFormat="1" applyFont="1" applyFill="1" applyBorder="1" applyAlignment="1">
      <alignment horizontal="center" vertical="center" wrapText="1"/>
    </xf>
    <xf numFmtId="3" fontId="9" fillId="1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/>
    </xf>
    <xf numFmtId="166" fontId="11" fillId="2" borderId="1" xfId="0" applyNumberFormat="1" applyFont="1" applyFill="1" applyBorder="1" applyAlignment="1">
      <alignment vertical="center"/>
    </xf>
    <xf numFmtId="166" fontId="11" fillId="2" borderId="0" xfId="0" applyNumberFormat="1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167" fontId="11" fillId="2" borderId="0" xfId="0" applyNumberFormat="1" applyFont="1" applyFill="1" applyAlignment="1">
      <alignment vertical="center"/>
    </xf>
    <xf numFmtId="0" fontId="11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12" fillId="5" borderId="14" xfId="0" applyFont="1" applyFill="1" applyBorder="1" applyAlignment="1">
      <alignment horizontal="center" vertical="center"/>
    </xf>
    <xf numFmtId="167" fontId="12" fillId="5" borderId="11" xfId="0" applyNumberFormat="1" applyFont="1" applyFill="1" applyBorder="1" applyAlignment="1">
      <alignment vertical="center"/>
    </xf>
    <xf numFmtId="0" fontId="12" fillId="5" borderId="11" xfId="0" applyFont="1" applyFill="1" applyBorder="1" applyAlignment="1">
      <alignment vertical="center"/>
    </xf>
    <xf numFmtId="167" fontId="12" fillId="5" borderId="12" xfId="0" applyNumberFormat="1" applyFont="1" applyFill="1" applyBorder="1" applyAlignment="1">
      <alignment vertical="center"/>
    </xf>
    <xf numFmtId="0" fontId="12" fillId="5" borderId="12" xfId="0" applyFont="1" applyFill="1" applyBorder="1" applyAlignment="1">
      <alignment vertical="center"/>
    </xf>
    <xf numFmtId="3" fontId="11" fillId="2" borderId="1" xfId="1" applyNumberFormat="1" applyFont="1" applyFill="1" applyBorder="1" applyAlignment="1">
      <alignment horizontal="center" vertical="center"/>
    </xf>
    <xf numFmtId="9" fontId="11" fillId="2" borderId="1" xfId="0" applyNumberFormat="1" applyFont="1" applyFill="1" applyBorder="1" applyAlignment="1">
      <alignment horizontal="center" vertical="center"/>
    </xf>
    <xf numFmtId="2" fontId="11" fillId="2" borderId="1" xfId="0" applyNumberFormat="1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/>
    </xf>
    <xf numFmtId="1" fontId="12" fillId="4" borderId="15" xfId="0" applyNumberFormat="1" applyFont="1" applyFill="1" applyBorder="1" applyAlignment="1">
      <alignment horizontal="center" vertical="center"/>
    </xf>
    <xf numFmtId="0" fontId="12" fillId="4" borderId="15" xfId="0" applyFont="1" applyFill="1" applyBorder="1" applyAlignment="1">
      <alignment horizontal="center" vertical="center"/>
    </xf>
    <xf numFmtId="3" fontId="12" fillId="4" borderId="1" xfId="0" applyNumberFormat="1" applyFont="1" applyFill="1" applyBorder="1" applyAlignment="1">
      <alignment horizontal="center" vertical="center"/>
    </xf>
    <xf numFmtId="3" fontId="12" fillId="2" borderId="0" xfId="0" applyNumberFormat="1" applyFont="1" applyFill="1" applyBorder="1" applyAlignment="1">
      <alignment horizontal="center" vertical="center"/>
    </xf>
    <xf numFmtId="3" fontId="12" fillId="4" borderId="14" xfId="0" applyNumberFormat="1" applyFont="1" applyFill="1" applyBorder="1" applyAlignment="1">
      <alignment horizontal="center" vertical="center"/>
    </xf>
    <xf numFmtId="3" fontId="12" fillId="4" borderId="15" xfId="0" applyNumberFormat="1" applyFont="1" applyFill="1" applyBorder="1" applyAlignment="1">
      <alignment horizontal="center" vertical="center"/>
    </xf>
    <xf numFmtId="3" fontId="12" fillId="4" borderId="13" xfId="0" applyNumberFormat="1" applyFont="1" applyFill="1" applyBorder="1" applyAlignment="1">
      <alignment horizontal="center" vertical="center"/>
    </xf>
    <xf numFmtId="167" fontId="11" fillId="4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vertical="center"/>
    </xf>
    <xf numFmtId="0" fontId="12" fillId="5" borderId="14" xfId="0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167" fontId="11" fillId="5" borderId="1" xfId="0" applyNumberFormat="1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vertical="center"/>
    </xf>
    <xf numFmtId="0" fontId="11" fillId="2" borderId="0" xfId="0" applyFont="1" applyFill="1" applyAlignment="1">
      <alignment vertical="center" wrapText="1"/>
    </xf>
    <xf numFmtId="0" fontId="12" fillId="4" borderId="14" xfId="0" applyFont="1" applyFill="1" applyBorder="1" applyAlignment="1">
      <alignment vertical="center"/>
    </xf>
    <xf numFmtId="0" fontId="12" fillId="4" borderId="15" xfId="0" applyFont="1" applyFill="1" applyBorder="1" applyAlignment="1">
      <alignment vertical="center"/>
    </xf>
    <xf numFmtId="0" fontId="12" fillId="4" borderId="13" xfId="0" applyFont="1" applyFill="1" applyBorder="1" applyAlignment="1">
      <alignment vertical="center"/>
    </xf>
    <xf numFmtId="2" fontId="12" fillId="4" borderId="3" xfId="0" applyNumberFormat="1" applyFont="1" applyFill="1" applyBorder="1" applyAlignment="1">
      <alignment horizontal="center" vertical="center"/>
    </xf>
    <xf numFmtId="0" fontId="12" fillId="5" borderId="9" xfId="0" applyFont="1" applyFill="1" applyBorder="1" applyAlignment="1">
      <alignment vertical="center"/>
    </xf>
    <xf numFmtId="3" fontId="11" fillId="8" borderId="1" xfId="1" applyNumberFormat="1" applyFont="1" applyFill="1" applyBorder="1" applyAlignment="1">
      <alignment horizontal="center" vertical="center"/>
    </xf>
    <xf numFmtId="3" fontId="11" fillId="2" borderId="0" xfId="0" applyNumberFormat="1" applyFont="1" applyFill="1" applyAlignment="1">
      <alignment vertical="center"/>
    </xf>
    <xf numFmtId="1" fontId="12" fillId="4" borderId="1" xfId="0" applyNumberFormat="1" applyFont="1" applyFill="1" applyBorder="1" applyAlignment="1">
      <alignment horizontal="center" vertical="center"/>
    </xf>
    <xf numFmtId="167" fontId="11" fillId="8" borderId="1" xfId="0" applyNumberFormat="1" applyFont="1" applyFill="1" applyBorder="1" applyAlignment="1">
      <alignment horizontal="center" vertical="center"/>
    </xf>
    <xf numFmtId="2" fontId="12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3" fontId="12" fillId="4" borderId="1" xfId="1" applyNumberFormat="1" applyFont="1" applyFill="1" applyBorder="1" applyAlignment="1">
      <alignment horizontal="center" vertical="center"/>
    </xf>
    <xf numFmtId="3" fontId="11" fillId="5" borderId="1" xfId="1" applyNumberFormat="1" applyFont="1" applyFill="1" applyBorder="1" applyAlignment="1">
      <alignment horizontal="center" vertical="center"/>
    </xf>
    <xf numFmtId="0" fontId="11" fillId="2" borderId="14" xfId="0" applyFont="1" applyFill="1" applyBorder="1" applyAlignment="1">
      <alignment horizontal="center" vertical="center"/>
    </xf>
    <xf numFmtId="0" fontId="11" fillId="8" borderId="14" xfId="0" applyFont="1" applyFill="1" applyBorder="1" applyAlignment="1">
      <alignment vertical="center"/>
    </xf>
    <xf numFmtId="0" fontId="11" fillId="8" borderId="15" xfId="0" applyFont="1" applyFill="1" applyBorder="1" applyAlignment="1">
      <alignment vertical="center"/>
    </xf>
    <xf numFmtId="0" fontId="11" fillId="8" borderId="13" xfId="0" applyFont="1" applyFill="1" applyBorder="1" applyAlignment="1">
      <alignment vertical="center"/>
    </xf>
    <xf numFmtId="167" fontId="11" fillId="2" borderId="0" xfId="0" applyNumberFormat="1" applyFont="1" applyFill="1" applyAlignment="1">
      <alignment horizontal="center" vertical="center"/>
    </xf>
    <xf numFmtId="9" fontId="11" fillId="2" borderId="0" xfId="2" applyFont="1" applyFill="1" applyAlignment="1">
      <alignment vertical="center"/>
    </xf>
    <xf numFmtId="0" fontId="9" fillId="2" borderId="11" xfId="0" applyFont="1" applyFill="1" applyBorder="1" applyAlignment="1">
      <alignment vertical="center"/>
    </xf>
    <xf numFmtId="3" fontId="9" fillId="2" borderId="7" xfId="0" applyNumberFormat="1" applyFont="1" applyFill="1" applyBorder="1" applyAlignment="1">
      <alignment horizontal="center" vertical="center"/>
    </xf>
    <xf numFmtId="3" fontId="9" fillId="2" borderId="8" xfId="0" applyNumberFormat="1" applyFont="1" applyFill="1" applyBorder="1" applyAlignment="1">
      <alignment horizontal="center" vertical="center"/>
    </xf>
    <xf numFmtId="3" fontId="11" fillId="2" borderId="7" xfId="0" applyNumberFormat="1" applyFont="1" applyFill="1" applyBorder="1" applyAlignment="1">
      <alignment horizontal="center" vertical="center"/>
    </xf>
    <xf numFmtId="3" fontId="11" fillId="2" borderId="8" xfId="0" applyNumberFormat="1" applyFont="1" applyFill="1" applyBorder="1" applyAlignment="1">
      <alignment horizontal="center" vertical="center"/>
    </xf>
    <xf numFmtId="0" fontId="9" fillId="2" borderId="32" xfId="0" applyFont="1" applyFill="1" applyBorder="1" applyAlignment="1">
      <alignment vertical="center"/>
    </xf>
    <xf numFmtId="0" fontId="10" fillId="4" borderId="14" xfId="0" applyFont="1" applyFill="1" applyBorder="1" applyAlignment="1">
      <alignment vertical="center"/>
    </xf>
    <xf numFmtId="3" fontId="10" fillId="4" borderId="15" xfId="0" applyNumberFormat="1" applyFont="1" applyFill="1" applyBorder="1" applyAlignment="1">
      <alignment horizontal="center" vertical="center"/>
    </xf>
    <xf numFmtId="3" fontId="10" fillId="4" borderId="13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12" fillId="5" borderId="13" xfId="0" applyFont="1" applyFill="1" applyBorder="1" applyAlignment="1">
      <alignment horizontal="center" vertical="center"/>
    </xf>
    <xf numFmtId="3" fontId="9" fillId="2" borderId="6" xfId="0" applyNumberFormat="1" applyFont="1" applyFill="1" applyBorder="1" applyAlignment="1">
      <alignment horizontal="center" vertical="center"/>
    </xf>
    <xf numFmtId="172" fontId="9" fillId="2" borderId="0" xfId="0" applyNumberFormat="1" applyFont="1" applyFill="1" applyBorder="1" applyAlignment="1">
      <alignment vertical="center"/>
    </xf>
    <xf numFmtId="3" fontId="9" fillId="2" borderId="10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vertical="center"/>
    </xf>
    <xf numFmtId="3" fontId="9" fillId="2" borderId="0" xfId="0" applyNumberFormat="1" applyFont="1" applyFill="1" applyBorder="1" applyAlignment="1">
      <alignment vertical="center"/>
    </xf>
    <xf numFmtId="0" fontId="21" fillId="3" borderId="5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3" fontId="6" fillId="4" borderId="1" xfId="0" applyNumberFormat="1" applyFont="1" applyFill="1" applyBorder="1" applyAlignment="1">
      <alignment horizontal="center"/>
    </xf>
    <xf numFmtId="0" fontId="6" fillId="2" borderId="11" xfId="0" applyFont="1" applyFill="1" applyBorder="1"/>
    <xf numFmtId="0" fontId="6" fillId="2" borderId="1" xfId="0" applyFont="1" applyFill="1" applyBorder="1" applyAlignment="1">
      <alignment horizontal="center"/>
    </xf>
    <xf numFmtId="0" fontId="11" fillId="5" borderId="14" xfId="0" applyFont="1" applyFill="1" applyBorder="1" applyAlignment="1">
      <alignment horizontal="center"/>
    </xf>
    <xf numFmtId="165" fontId="11" fillId="2" borderId="8" xfId="0" applyNumberFormat="1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vertical="center"/>
    </xf>
    <xf numFmtId="0" fontId="24" fillId="2" borderId="0" xfId="0" applyFont="1" applyFill="1" applyBorder="1" applyAlignment="1">
      <alignment vertical="center"/>
    </xf>
    <xf numFmtId="0" fontId="12" fillId="4" borderId="1" xfId="0" applyFont="1" applyFill="1" applyBorder="1" applyAlignment="1">
      <alignment vertical="center"/>
    </xf>
    <xf numFmtId="0" fontId="11" fillId="4" borderId="1" xfId="0" applyFont="1" applyFill="1" applyBorder="1" applyAlignment="1">
      <alignment vertical="center"/>
    </xf>
    <xf numFmtId="0" fontId="12" fillId="3" borderId="3" xfId="0" applyFont="1" applyFill="1" applyBorder="1" applyAlignment="1">
      <alignment vertical="center"/>
    </xf>
    <xf numFmtId="3" fontId="12" fillId="3" borderId="1" xfId="0" applyNumberFormat="1" applyFont="1" applyFill="1" applyBorder="1" applyAlignment="1">
      <alignment horizontal="center" vertical="center"/>
    </xf>
    <xf numFmtId="0" fontId="11" fillId="4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0" fontId="15" fillId="5" borderId="1" xfId="5" applyFont="1" applyFill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4" fillId="5" borderId="13" xfId="5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23" fillId="5" borderId="14" xfId="0" applyFont="1" applyFill="1" applyBorder="1" applyAlignment="1">
      <alignment horizontal="center" vertical="center"/>
    </xf>
    <xf numFmtId="3" fontId="22" fillId="2" borderId="14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6" fillId="5" borderId="1" xfId="0" applyFont="1" applyFill="1" applyBorder="1" applyAlignment="1">
      <alignment horizontal="center" vertical="center"/>
    </xf>
    <xf numFmtId="3" fontId="21" fillId="5" borderId="3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3" fontId="6" fillId="2" borderId="14" xfId="0" applyNumberFormat="1" applyFont="1" applyFill="1" applyBorder="1" applyAlignment="1">
      <alignment horizontal="center" vertical="center"/>
    </xf>
    <xf numFmtId="3" fontId="6" fillId="2" borderId="15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/>
    </xf>
    <xf numFmtId="3" fontId="6" fillId="2" borderId="12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3" fontId="6" fillId="2" borderId="3" xfId="0" applyNumberFormat="1" applyFont="1" applyFill="1" applyBorder="1" applyAlignment="1">
      <alignment horizontal="center" vertical="center"/>
    </xf>
    <xf numFmtId="3" fontId="6" fillId="2" borderId="4" xfId="0" applyNumberFormat="1" applyFont="1" applyFill="1" applyBorder="1" applyAlignment="1">
      <alignment horizontal="center" vertical="center"/>
    </xf>
    <xf numFmtId="0" fontId="21" fillId="2" borderId="11" xfId="0" applyFont="1" applyFill="1" applyBorder="1" applyAlignment="1">
      <alignment horizontal="center" vertical="center"/>
    </xf>
    <xf numFmtId="3" fontId="14" fillId="2" borderId="2" xfId="0" applyNumberFormat="1" applyFont="1" applyFill="1" applyBorder="1" applyAlignment="1">
      <alignment horizontal="center" vertical="center"/>
    </xf>
    <xf numFmtId="3" fontId="6" fillId="2" borderId="2" xfId="0" applyNumberFormat="1" applyFont="1" applyFill="1" applyBorder="1" applyAlignment="1">
      <alignment horizontal="center" vertical="center"/>
    </xf>
    <xf numFmtId="3" fontId="6" fillId="2" borderId="10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center" vertical="center"/>
    </xf>
    <xf numFmtId="3" fontId="21" fillId="2" borderId="15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10" fillId="5" borderId="21" xfId="0" applyFont="1" applyFill="1" applyBorder="1" applyAlignment="1">
      <alignment horizontal="center" vertical="center"/>
    </xf>
    <xf numFmtId="3" fontId="10" fillId="5" borderId="22" xfId="0" applyNumberFormat="1" applyFont="1" applyFill="1" applyBorder="1" applyAlignment="1">
      <alignment horizontal="center" vertical="center"/>
    </xf>
    <xf numFmtId="3" fontId="9" fillId="2" borderId="20" xfId="0" applyNumberFormat="1" applyFont="1" applyFill="1" applyBorder="1" applyAlignment="1">
      <alignment horizontal="center" vertical="center"/>
    </xf>
    <xf numFmtId="3" fontId="9" fillId="2" borderId="22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center" vertical="center"/>
    </xf>
    <xf numFmtId="3" fontId="10" fillId="2" borderId="0" xfId="0" applyNumberFormat="1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3" fontId="9" fillId="10" borderId="23" xfId="0" applyNumberFormat="1" applyFont="1" applyFill="1" applyBorder="1" applyAlignment="1">
      <alignment horizontal="center" vertical="center"/>
    </xf>
    <xf numFmtId="3" fontId="9" fillId="2" borderId="25" xfId="0" applyNumberFormat="1" applyFont="1" applyFill="1" applyBorder="1" applyAlignment="1">
      <alignment horizontal="center" vertical="center"/>
    </xf>
    <xf numFmtId="3" fontId="9" fillId="2" borderId="25" xfId="0" applyNumberFormat="1" applyFont="1" applyFill="1" applyBorder="1" applyAlignment="1">
      <alignment horizontal="center" vertical="center" wrapText="1"/>
    </xf>
    <xf numFmtId="3" fontId="9" fillId="10" borderId="20" xfId="0" applyNumberFormat="1" applyFont="1" applyFill="1" applyBorder="1" applyAlignment="1">
      <alignment horizontal="center" vertical="center" wrapText="1"/>
    </xf>
    <xf numFmtId="3" fontId="9" fillId="10" borderId="1" xfId="0" applyNumberFormat="1" applyFont="1" applyFill="1" applyBorder="1" applyAlignment="1">
      <alignment horizontal="center" vertical="center" wrapText="1"/>
    </xf>
    <xf numFmtId="3" fontId="9" fillId="10" borderId="23" xfId="0" applyNumberFormat="1" applyFont="1" applyFill="1" applyBorder="1" applyAlignment="1">
      <alignment horizontal="center" vertical="center" wrapText="1"/>
    </xf>
    <xf numFmtId="3" fontId="9" fillId="2" borderId="23" xfId="0" applyNumberFormat="1" applyFont="1" applyFill="1" applyBorder="1" applyAlignment="1">
      <alignment horizontal="center" vertical="center"/>
    </xf>
    <xf numFmtId="3" fontId="9" fillId="7" borderId="25" xfId="0" applyNumberFormat="1" applyFont="1" applyFill="1" applyBorder="1" applyAlignment="1">
      <alignment horizontal="center" vertical="center"/>
    </xf>
    <xf numFmtId="3" fontId="9" fillId="7" borderId="20" xfId="0" applyNumberFormat="1" applyFont="1" applyFill="1" applyBorder="1" applyAlignment="1">
      <alignment horizontal="center" vertical="center"/>
    </xf>
    <xf numFmtId="3" fontId="9" fillId="7" borderId="1" xfId="0" applyNumberFormat="1" applyFont="1" applyFill="1" applyBorder="1" applyAlignment="1">
      <alignment horizontal="center" vertical="center"/>
    </xf>
    <xf numFmtId="3" fontId="9" fillId="6" borderId="20" xfId="0" applyNumberFormat="1" applyFont="1" applyFill="1" applyBorder="1" applyAlignment="1">
      <alignment horizontal="center" vertical="center"/>
    </xf>
    <xf numFmtId="0" fontId="9" fillId="6" borderId="20" xfId="0" applyFont="1" applyFill="1" applyBorder="1" applyAlignment="1">
      <alignment horizontal="center" vertical="center"/>
    </xf>
    <xf numFmtId="3" fontId="9" fillId="6" borderId="23" xfId="0" applyNumberFormat="1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/>
    </xf>
    <xf numFmtId="3" fontId="9" fillId="12" borderId="1" xfId="0" applyNumberFormat="1" applyFont="1" applyFill="1" applyBorder="1" applyAlignment="1">
      <alignment horizontal="center" vertical="center"/>
    </xf>
    <xf numFmtId="3" fontId="9" fillId="14" borderId="1" xfId="0" applyNumberFormat="1" applyFont="1" applyFill="1" applyBorder="1" applyAlignment="1">
      <alignment horizontal="center" vertical="center"/>
    </xf>
    <xf numFmtId="3" fontId="10" fillId="5" borderId="12" xfId="0" applyNumberFormat="1" applyFont="1" applyFill="1" applyBorder="1" applyAlignment="1">
      <alignment horizontal="center" vertical="center"/>
    </xf>
    <xf numFmtId="3" fontId="10" fillId="5" borderId="30" xfId="0" applyNumberFormat="1" applyFont="1" applyFill="1" applyBorder="1" applyAlignment="1">
      <alignment horizontal="center" vertical="center"/>
    </xf>
    <xf numFmtId="3" fontId="10" fillId="5" borderId="3" xfId="0" applyNumberFormat="1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3" fontId="9" fillId="7" borderId="22" xfId="0" applyNumberFormat="1" applyFont="1" applyFill="1" applyBorder="1" applyAlignment="1">
      <alignment horizontal="center" vertical="center"/>
    </xf>
    <xf numFmtId="3" fontId="9" fillId="2" borderId="14" xfId="0" applyNumberFormat="1" applyFont="1" applyFill="1" applyBorder="1" applyAlignment="1">
      <alignment horizontal="center" vertical="center"/>
    </xf>
    <xf numFmtId="0" fontId="10" fillId="10" borderId="20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9" fillId="6" borderId="23" xfId="0" applyFont="1" applyFill="1" applyBorder="1" applyAlignment="1">
      <alignment horizontal="center" vertical="center"/>
    </xf>
    <xf numFmtId="0" fontId="9" fillId="6" borderId="22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9" fillId="6" borderId="0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7" borderId="20" xfId="0" applyFont="1" applyFill="1" applyBorder="1" applyAlignment="1">
      <alignment horizontal="center" vertical="center"/>
    </xf>
    <xf numFmtId="0" fontId="9" fillId="10" borderId="23" xfId="0" applyFont="1" applyFill="1" applyBorder="1" applyAlignment="1">
      <alignment horizontal="center" vertical="center"/>
    </xf>
    <xf numFmtId="0" fontId="9" fillId="10" borderId="20" xfId="0" applyFont="1" applyFill="1" applyBorder="1" applyAlignment="1">
      <alignment horizontal="center" vertical="center" wrapText="1"/>
    </xf>
    <xf numFmtId="0" fontId="9" fillId="10" borderId="20" xfId="0" applyFont="1" applyFill="1" applyBorder="1" applyAlignment="1">
      <alignment horizontal="center" vertical="center"/>
    </xf>
    <xf numFmtId="0" fontId="9" fillId="10" borderId="22" xfId="0" applyFont="1" applyFill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9" fillId="1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2" fontId="9" fillId="2" borderId="0" xfId="0" applyNumberFormat="1" applyFont="1" applyFill="1" applyAlignment="1">
      <alignment horizontal="center" vertical="center"/>
    </xf>
    <xf numFmtId="0" fontId="9" fillId="12" borderId="1" xfId="0" applyFont="1" applyFill="1" applyBorder="1" applyAlignment="1">
      <alignment horizontal="center" vertical="center" wrapText="1"/>
    </xf>
    <xf numFmtId="3" fontId="9" fillId="5" borderId="13" xfId="0" applyNumberFormat="1" applyFont="1" applyFill="1" applyBorder="1" applyAlignment="1">
      <alignment horizontal="center" vertical="center"/>
    </xf>
    <xf numFmtId="0" fontId="9" fillId="5" borderId="22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 wrapText="1"/>
    </xf>
    <xf numFmtId="0" fontId="9" fillId="5" borderId="23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9" fillId="5" borderId="30" xfId="0" applyFont="1" applyFill="1" applyBorder="1" applyAlignment="1">
      <alignment horizontal="center" vertical="center"/>
    </xf>
    <xf numFmtId="0" fontId="9" fillId="5" borderId="31" xfId="0" applyFont="1" applyFill="1" applyBorder="1" applyAlignment="1">
      <alignment horizontal="center" vertical="center"/>
    </xf>
    <xf numFmtId="0" fontId="9" fillId="7" borderId="22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/>
    </xf>
    <xf numFmtId="0" fontId="9" fillId="5" borderId="37" xfId="0" applyFont="1" applyFill="1" applyBorder="1" applyAlignment="1">
      <alignment horizontal="center" vertical="center"/>
    </xf>
    <xf numFmtId="0" fontId="9" fillId="7" borderId="38" xfId="0" applyFont="1" applyFill="1" applyBorder="1" applyAlignment="1">
      <alignment horizontal="center" vertical="center" wrapText="1"/>
    </xf>
    <xf numFmtId="0" fontId="9" fillId="7" borderId="0" xfId="0" applyFont="1" applyFill="1" applyBorder="1" applyAlignment="1">
      <alignment horizontal="center" vertical="center" wrapText="1"/>
    </xf>
    <xf numFmtId="0" fontId="9" fillId="7" borderId="20" xfId="0" applyFont="1" applyFill="1" applyBorder="1" applyAlignment="1">
      <alignment horizontal="center" vertical="center" wrapText="1"/>
    </xf>
    <xf numFmtId="3" fontId="10" fillId="5" borderId="1" xfId="0" applyNumberFormat="1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 wrapText="1"/>
    </xf>
    <xf numFmtId="9" fontId="9" fillId="5" borderId="1" xfId="0" applyNumberFormat="1" applyFont="1" applyFill="1" applyBorder="1" applyAlignment="1">
      <alignment horizontal="center" vertical="center"/>
    </xf>
    <xf numFmtId="10" fontId="9" fillId="5" borderId="14" xfId="0" applyNumberFormat="1" applyFont="1" applyFill="1" applyBorder="1" applyAlignment="1">
      <alignment horizontal="center" vertical="center"/>
    </xf>
    <xf numFmtId="168" fontId="9" fillId="2" borderId="1" xfId="4" applyNumberFormat="1" applyFont="1" applyFill="1" applyBorder="1" applyAlignment="1">
      <alignment horizontal="center" vertical="center"/>
    </xf>
    <xf numFmtId="168" fontId="10" fillId="2" borderId="1" xfId="6" applyNumberFormat="1" applyFont="1" applyFill="1" applyBorder="1" applyAlignment="1">
      <alignment horizontal="center" vertical="center"/>
    </xf>
    <xf numFmtId="1" fontId="9" fillId="2" borderId="0" xfId="6" applyNumberFormat="1" applyFont="1" applyFill="1" applyBorder="1" applyAlignment="1">
      <alignment horizontal="center" vertical="center"/>
    </xf>
    <xf numFmtId="1" fontId="10" fillId="2" borderId="0" xfId="6" applyNumberFormat="1" applyFont="1" applyFill="1" applyBorder="1" applyAlignment="1">
      <alignment horizontal="center" vertical="center"/>
    </xf>
    <xf numFmtId="3" fontId="9" fillId="2" borderId="1" xfId="6" applyNumberFormat="1" applyFont="1" applyFill="1" applyBorder="1" applyAlignment="1">
      <alignment horizontal="center" vertical="center"/>
    </xf>
    <xf numFmtId="3" fontId="10" fillId="2" borderId="1" xfId="6" applyNumberFormat="1" applyFont="1" applyFill="1" applyBorder="1" applyAlignment="1">
      <alignment horizontal="center" vertical="center"/>
    </xf>
    <xf numFmtId="3" fontId="9" fillId="5" borderId="1" xfId="6" applyNumberFormat="1" applyFont="1" applyFill="1" applyBorder="1" applyAlignment="1">
      <alignment horizontal="center" vertical="center"/>
    </xf>
    <xf numFmtId="3" fontId="9" fillId="2" borderId="0" xfId="6" applyNumberFormat="1" applyFont="1" applyFill="1" applyBorder="1" applyAlignment="1">
      <alignment horizontal="center" vertical="center"/>
    </xf>
    <xf numFmtId="3" fontId="10" fillId="2" borderId="0" xfId="6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1" fontId="9" fillId="4" borderId="15" xfId="6" applyNumberFormat="1" applyFont="1" applyFill="1" applyBorder="1" applyAlignment="1">
      <alignment horizontal="center" vertical="center"/>
    </xf>
    <xf numFmtId="1" fontId="9" fillId="4" borderId="13" xfId="6" applyNumberFormat="1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vertical="center"/>
    </xf>
    <xf numFmtId="0" fontId="10" fillId="4" borderId="13" xfId="0" applyFont="1" applyFill="1" applyBorder="1" applyAlignment="1">
      <alignment vertical="center"/>
    </xf>
    <xf numFmtId="0" fontId="6" fillId="2" borderId="0" xfId="0" applyFont="1" applyFill="1" applyAlignment="1">
      <alignment horizontal="center" vertical="center"/>
    </xf>
    <xf numFmtId="3" fontId="21" fillId="2" borderId="0" xfId="0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3" fontId="21" fillId="2" borderId="0" xfId="0" applyNumberFormat="1" applyFont="1" applyFill="1" applyAlignment="1">
      <alignment horizontal="center" vertical="center"/>
    </xf>
    <xf numFmtId="1" fontId="6" fillId="2" borderId="0" xfId="0" applyNumberFormat="1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1" fillId="4" borderId="14" xfId="0" applyFont="1" applyFill="1" applyBorder="1" applyAlignment="1">
      <alignment vertical="center"/>
    </xf>
    <xf numFmtId="0" fontId="6" fillId="4" borderId="15" xfId="0" applyFont="1" applyFill="1" applyBorder="1" applyAlignment="1">
      <alignment vertical="center"/>
    </xf>
    <xf numFmtId="0" fontId="6" fillId="4" borderId="13" xfId="0" applyFont="1" applyFill="1" applyBorder="1" applyAlignment="1">
      <alignment vertical="center"/>
    </xf>
    <xf numFmtId="0" fontId="22" fillId="2" borderId="0" xfId="0" applyFont="1" applyFill="1" applyAlignment="1">
      <alignment vertical="center"/>
    </xf>
    <xf numFmtId="0" fontId="22" fillId="5" borderId="1" xfId="0" applyFont="1" applyFill="1" applyBorder="1" applyAlignment="1">
      <alignment horizontal="center" vertical="center"/>
    </xf>
    <xf numFmtId="16" fontId="22" fillId="5" borderId="1" xfId="0" applyNumberFormat="1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/>
    </xf>
    <xf numFmtId="9" fontId="23" fillId="5" borderId="1" xfId="0" applyNumberFormat="1" applyFont="1" applyFill="1" applyBorder="1" applyAlignment="1">
      <alignment horizontal="center" vertical="center"/>
    </xf>
    <xf numFmtId="9" fontId="22" fillId="2" borderId="0" xfId="0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2" fontId="22" fillId="2" borderId="0" xfId="0" applyNumberFormat="1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0" fontId="23" fillId="5" borderId="1" xfId="0" applyFont="1" applyFill="1" applyBorder="1" applyAlignment="1">
      <alignment vertical="center"/>
    </xf>
    <xf numFmtId="0" fontId="23" fillId="5" borderId="1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vertical="center"/>
    </xf>
    <xf numFmtId="3" fontId="22" fillId="5" borderId="14" xfId="0" applyNumberFormat="1" applyFont="1" applyFill="1" applyBorder="1" applyAlignment="1">
      <alignment vertical="center"/>
    </xf>
    <xf numFmtId="3" fontId="22" fillId="5" borderId="13" xfId="0" applyNumberFormat="1" applyFont="1" applyFill="1" applyBorder="1" applyAlignment="1">
      <alignment vertical="center"/>
    </xf>
    <xf numFmtId="9" fontId="22" fillId="5" borderId="1" xfId="2" applyFont="1" applyFill="1" applyBorder="1" applyAlignment="1">
      <alignment horizontal="center" vertical="center"/>
    </xf>
    <xf numFmtId="3" fontId="22" fillId="5" borderId="15" xfId="0" applyNumberFormat="1" applyFont="1" applyFill="1" applyBorder="1" applyAlignment="1">
      <alignment vertical="center"/>
    </xf>
    <xf numFmtId="3" fontId="22" fillId="2" borderId="0" xfId="0" applyNumberFormat="1" applyFont="1" applyFill="1" applyAlignment="1">
      <alignment vertical="center"/>
    </xf>
    <xf numFmtId="3" fontId="23" fillId="5" borderId="1" xfId="0" applyNumberFormat="1" applyFont="1" applyFill="1" applyBorder="1" applyAlignment="1">
      <alignment horizontal="center" vertical="center"/>
    </xf>
    <xf numFmtId="10" fontId="18" fillId="0" borderId="0" xfId="0" applyNumberFormat="1" applyFont="1" applyAlignment="1">
      <alignment vertical="center"/>
    </xf>
    <xf numFmtId="10" fontId="6" fillId="2" borderId="13" xfId="0" applyNumberFormat="1" applyFont="1" applyFill="1" applyBorder="1" applyAlignment="1">
      <alignment horizontal="center" vertical="center"/>
    </xf>
    <xf numFmtId="0" fontId="6" fillId="5" borderId="4" xfId="0" applyFont="1" applyFill="1" applyBorder="1" applyAlignment="1">
      <alignment vertical="center"/>
    </xf>
    <xf numFmtId="10" fontId="6" fillId="2" borderId="1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9" fontId="6" fillId="2" borderId="6" xfId="0" applyNumberFormat="1" applyFont="1" applyFill="1" applyBorder="1" applyAlignment="1">
      <alignment horizontal="center" vertical="center"/>
    </xf>
    <xf numFmtId="10" fontId="6" fillId="2" borderId="3" xfId="0" applyNumberFormat="1" applyFont="1" applyFill="1" applyBorder="1" applyAlignment="1">
      <alignment horizontal="center" vertical="center"/>
    </xf>
    <xf numFmtId="0" fontId="6" fillId="5" borderId="11" xfId="0" applyFont="1" applyFill="1" applyBorder="1" applyAlignment="1">
      <alignment vertical="center"/>
    </xf>
    <xf numFmtId="9" fontId="6" fillId="2" borderId="8" xfId="0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vertical="center"/>
    </xf>
    <xf numFmtId="10" fontId="18" fillId="0" borderId="11" xfId="0" applyNumberFormat="1" applyFont="1" applyBorder="1" applyAlignment="1">
      <alignment horizontal="center" vertical="center"/>
    </xf>
    <xf numFmtId="10" fontId="6" fillId="2" borderId="8" xfId="0" applyNumberFormat="1" applyFont="1" applyFill="1" applyBorder="1" applyAlignment="1">
      <alignment horizontal="center" vertical="center"/>
    </xf>
    <xf numFmtId="10" fontId="6" fillId="2" borderId="11" xfId="0" applyNumberFormat="1" applyFont="1" applyFill="1" applyBorder="1" applyAlignment="1">
      <alignment horizontal="center" vertical="center"/>
    </xf>
    <xf numFmtId="0" fontId="6" fillId="5" borderId="9" xfId="0" applyFont="1" applyFill="1" applyBorder="1" applyAlignment="1">
      <alignment vertical="center"/>
    </xf>
    <xf numFmtId="0" fontId="18" fillId="2" borderId="12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vertical="center"/>
    </xf>
    <xf numFmtId="10" fontId="6" fillId="2" borderId="10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/>
    </xf>
    <xf numFmtId="2" fontId="6" fillId="2" borderId="13" xfId="0" applyNumberFormat="1" applyFont="1" applyFill="1" applyBorder="1" applyAlignment="1">
      <alignment horizontal="center" vertical="center"/>
    </xf>
    <xf numFmtId="10" fontId="6" fillId="4" borderId="15" xfId="0" applyNumberFormat="1" applyFont="1" applyFill="1" applyBorder="1" applyAlignment="1">
      <alignment vertical="center"/>
    </xf>
    <xf numFmtId="0" fontId="6" fillId="4" borderId="14" xfId="0" applyFont="1" applyFill="1" applyBorder="1" applyAlignment="1">
      <alignment vertical="center"/>
    </xf>
    <xf numFmtId="10" fontId="6" fillId="2" borderId="0" xfId="0" applyNumberFormat="1" applyFont="1" applyFill="1" applyAlignment="1">
      <alignment vertical="center"/>
    </xf>
    <xf numFmtId="0" fontId="21" fillId="5" borderId="4" xfId="0" applyFont="1" applyFill="1" applyBorder="1" applyAlignment="1">
      <alignment vertical="center"/>
    </xf>
    <xf numFmtId="0" fontId="21" fillId="5" borderId="7" xfId="0" applyFont="1" applyFill="1" applyBorder="1" applyAlignment="1">
      <alignment vertical="center"/>
    </xf>
    <xf numFmtId="0" fontId="21" fillId="5" borderId="9" xfId="0" applyFont="1" applyFill="1" applyBorder="1" applyAlignment="1">
      <alignment vertical="center"/>
    </xf>
    <xf numFmtId="0" fontId="11" fillId="5" borderId="13" xfId="0" applyFont="1" applyFill="1" applyBorder="1" applyAlignment="1">
      <alignment vertical="center"/>
    </xf>
    <xf numFmtId="173" fontId="11" fillId="2" borderId="0" xfId="2" applyNumberFormat="1" applyFont="1" applyFill="1" applyBorder="1" applyAlignment="1">
      <alignment horizontal="center" vertical="center"/>
    </xf>
    <xf numFmtId="174" fontId="11" fillId="2" borderId="0" xfId="0" applyNumberFormat="1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0" fillId="5" borderId="4" xfId="0" applyFont="1" applyFill="1" applyBorder="1" applyAlignment="1">
      <alignment vertical="center"/>
    </xf>
    <xf numFmtId="0" fontId="10" fillId="5" borderId="5" xfId="0" applyFont="1" applyFill="1" applyBorder="1" applyAlignment="1">
      <alignment vertical="center"/>
    </xf>
    <xf numFmtId="0" fontId="10" fillId="5" borderId="5" xfId="0" applyFont="1" applyFill="1" applyBorder="1" applyAlignment="1">
      <alignment horizontal="right" vertical="center"/>
    </xf>
    <xf numFmtId="0" fontId="10" fillId="5" borderId="5" xfId="0" applyFont="1" applyFill="1" applyBorder="1" applyAlignment="1">
      <alignment horizontal="left" vertical="center"/>
    </xf>
    <xf numFmtId="9" fontId="10" fillId="5" borderId="6" xfId="2" applyFont="1" applyFill="1" applyBorder="1" applyAlignment="1">
      <alignment horizontal="left" vertical="center"/>
    </xf>
    <xf numFmtId="0" fontId="9" fillId="5" borderId="5" xfId="0" applyFont="1" applyFill="1" applyBorder="1" applyAlignment="1">
      <alignment vertical="center"/>
    </xf>
    <xf numFmtId="1" fontId="10" fillId="5" borderId="5" xfId="0" applyNumberFormat="1" applyFont="1" applyFill="1" applyBorder="1" applyAlignment="1">
      <alignment horizontal="left" vertical="center"/>
    </xf>
    <xf numFmtId="9" fontId="10" fillId="5" borderId="5" xfId="2" applyFont="1" applyFill="1" applyBorder="1" applyAlignment="1">
      <alignment horizontal="left" vertical="center"/>
    </xf>
    <xf numFmtId="1" fontId="10" fillId="5" borderId="13" xfId="0" applyNumberFormat="1" applyFont="1" applyFill="1" applyBorder="1" applyAlignment="1">
      <alignment vertical="center"/>
    </xf>
    <xf numFmtId="10" fontId="11" fillId="4" borderId="14" xfId="2" applyNumberFormat="1" applyFont="1" applyFill="1" applyBorder="1" applyAlignment="1">
      <alignment horizontal="center" vertical="center"/>
    </xf>
    <xf numFmtId="10" fontId="11" fillId="4" borderId="15" xfId="2" applyNumberFormat="1" applyFont="1" applyFill="1" applyBorder="1" applyAlignment="1">
      <alignment horizontal="center" vertical="center"/>
    </xf>
    <xf numFmtId="10" fontId="11" fillId="4" borderId="15" xfId="0" applyNumberFormat="1" applyFont="1" applyFill="1" applyBorder="1" applyAlignment="1">
      <alignment horizontal="center" vertical="center"/>
    </xf>
    <xf numFmtId="10" fontId="11" fillId="4" borderId="13" xfId="2" applyNumberFormat="1" applyFont="1" applyFill="1" applyBorder="1" applyAlignment="1">
      <alignment horizontal="center" vertical="center"/>
    </xf>
    <xf numFmtId="1" fontId="10" fillId="5" borderId="8" xfId="0" applyNumberFormat="1" applyFont="1" applyFill="1" applyBorder="1" applyAlignment="1">
      <alignment vertical="center"/>
    </xf>
    <xf numFmtId="3" fontId="11" fillId="2" borderId="7" xfId="2" applyNumberFormat="1" applyFont="1" applyFill="1" applyBorder="1" applyAlignment="1">
      <alignment horizontal="center" vertical="center"/>
    </xf>
    <xf numFmtId="3" fontId="11" fillId="2" borderId="0" xfId="2" applyNumberFormat="1" applyFont="1" applyFill="1" applyBorder="1" applyAlignment="1">
      <alignment horizontal="center" vertical="center"/>
    </xf>
    <xf numFmtId="3" fontId="11" fillId="2" borderId="8" xfId="2" applyNumberFormat="1" applyFont="1" applyFill="1" applyBorder="1" applyAlignment="1">
      <alignment horizontal="center" vertical="center"/>
    </xf>
    <xf numFmtId="1" fontId="10" fillId="5" borderId="10" xfId="0" applyNumberFormat="1" applyFont="1" applyFill="1" applyBorder="1" applyAlignment="1">
      <alignment vertical="center"/>
    </xf>
    <xf numFmtId="3" fontId="11" fillId="2" borderId="9" xfId="0" applyNumberFormat="1" applyFont="1" applyFill="1" applyBorder="1" applyAlignment="1">
      <alignment horizontal="center" vertical="center"/>
    </xf>
    <xf numFmtId="3" fontId="11" fillId="2" borderId="2" xfId="0" applyNumberFormat="1" applyFont="1" applyFill="1" applyBorder="1" applyAlignment="1">
      <alignment horizontal="center" vertical="center"/>
    </xf>
    <xf numFmtId="3" fontId="11" fillId="2" borderId="10" xfId="0" applyNumberFormat="1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vertical="center"/>
    </xf>
    <xf numFmtId="1" fontId="11" fillId="2" borderId="0" xfId="2" applyNumberFormat="1" applyFont="1" applyFill="1" applyAlignment="1">
      <alignment horizontal="center" vertical="center"/>
    </xf>
    <xf numFmtId="1" fontId="11" fillId="2" borderId="0" xfId="0" applyNumberFormat="1" applyFont="1" applyFill="1" applyAlignment="1">
      <alignment horizontal="center" vertical="center"/>
    </xf>
    <xf numFmtId="164" fontId="11" fillId="2" borderId="0" xfId="4" applyFont="1" applyFill="1" applyBorder="1" applyAlignment="1">
      <alignment horizontal="center" vertical="center"/>
    </xf>
    <xf numFmtId="1" fontId="11" fillId="2" borderId="16" xfId="0" applyNumberFormat="1" applyFont="1" applyFill="1" applyBorder="1" applyAlignment="1">
      <alignment horizontal="center" vertical="center"/>
    </xf>
    <xf numFmtId="1" fontId="11" fillId="2" borderId="13" xfId="0" applyNumberFormat="1" applyFont="1" applyFill="1" applyBorder="1" applyAlignment="1">
      <alignment horizontal="center" vertical="center"/>
    </xf>
    <xf numFmtId="1" fontId="11" fillId="2" borderId="17" xfId="0" applyNumberFormat="1" applyFont="1" applyFill="1" applyBorder="1" applyAlignment="1">
      <alignment horizontal="center" vertical="center"/>
    </xf>
    <xf numFmtId="168" fontId="11" fillId="2" borderId="0" xfId="4" applyNumberFormat="1" applyFont="1" applyFill="1" applyBorder="1" applyAlignment="1">
      <alignment horizontal="center" vertical="center"/>
    </xf>
    <xf numFmtId="168" fontId="11" fillId="2" borderId="0" xfId="0" applyNumberFormat="1" applyFont="1" applyFill="1" applyAlignment="1">
      <alignment vertical="center"/>
    </xf>
    <xf numFmtId="0" fontId="10" fillId="2" borderId="2" xfId="0" applyFont="1" applyFill="1" applyBorder="1" applyAlignment="1">
      <alignment horizontal="center" vertical="center" wrapText="1"/>
    </xf>
    <xf numFmtId="164" fontId="17" fillId="2" borderId="0" xfId="4" applyFont="1" applyFill="1" applyBorder="1" applyAlignment="1">
      <alignment vertical="center"/>
    </xf>
    <xf numFmtId="9" fontId="17" fillId="2" borderId="0" xfId="0" applyNumberFormat="1" applyFont="1" applyFill="1" applyBorder="1" applyAlignment="1">
      <alignment horizontal="left" vertical="center"/>
    </xf>
    <xf numFmtId="1" fontId="11" fillId="2" borderId="0" xfId="0" applyNumberFormat="1" applyFont="1" applyFill="1" applyAlignment="1">
      <alignment vertical="center"/>
    </xf>
    <xf numFmtId="0" fontId="12" fillId="5" borderId="13" xfId="0" applyFont="1" applyFill="1" applyBorder="1" applyAlignment="1">
      <alignment vertical="center"/>
    </xf>
    <xf numFmtId="164" fontId="11" fillId="2" borderId="0" xfId="0" applyNumberFormat="1" applyFont="1" applyFill="1" applyAlignment="1">
      <alignment vertical="center"/>
    </xf>
    <xf numFmtId="0" fontId="12" fillId="5" borderId="1" xfId="0" applyFont="1" applyFill="1" applyBorder="1" applyAlignment="1">
      <alignment horizontal="left" vertical="center"/>
    </xf>
    <xf numFmtId="168" fontId="11" fillId="2" borderId="0" xfId="0" applyNumberFormat="1" applyFont="1" applyFill="1" applyAlignment="1">
      <alignment horizontal="center" vertical="center"/>
    </xf>
    <xf numFmtId="168" fontId="11" fillId="2" borderId="0" xfId="0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/>
    </xf>
    <xf numFmtId="0" fontId="6" fillId="2" borderId="6" xfId="0" applyFont="1" applyFill="1" applyBorder="1"/>
    <xf numFmtId="0" fontId="6" fillId="2" borderId="8" xfId="0" applyFont="1" applyFill="1" applyBorder="1"/>
    <xf numFmtId="0" fontId="21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21" fillId="2" borderId="4" xfId="0" applyFont="1" applyFill="1" applyBorder="1"/>
    <xf numFmtId="0" fontId="11" fillId="0" borderId="11" xfId="0" applyFont="1" applyFill="1" applyBorder="1" applyAlignment="1">
      <alignment vertical="top" wrapText="1"/>
    </xf>
    <xf numFmtId="0" fontId="11" fillId="0" borderId="1" xfId="0" applyFont="1" applyFill="1" applyBorder="1" applyAlignment="1"/>
    <xf numFmtId="3" fontId="11" fillId="18" borderId="11" xfId="0" applyNumberFormat="1" applyFont="1" applyFill="1" applyBorder="1" applyAlignment="1">
      <alignment horizontal="center"/>
    </xf>
    <xf numFmtId="0" fontId="11" fillId="18" borderId="1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10" fontId="24" fillId="4" borderId="11" xfId="0" applyNumberFormat="1" applyFont="1" applyFill="1" applyBorder="1" applyAlignment="1">
      <alignment horizontal="center"/>
    </xf>
    <xf numFmtId="3" fontId="24" fillId="4" borderId="11" xfId="0" applyNumberFormat="1" applyFont="1" applyFill="1" applyBorder="1" applyAlignment="1">
      <alignment horizontal="center"/>
    </xf>
    <xf numFmtId="2" fontId="24" fillId="4" borderId="12" xfId="0" applyNumberFormat="1" applyFont="1" applyFill="1" applyBorder="1" applyAlignment="1">
      <alignment horizontal="center"/>
    </xf>
    <xf numFmtId="10" fontId="11" fillId="0" borderId="11" xfId="0" applyNumberFormat="1" applyFont="1" applyFill="1" applyBorder="1" applyAlignment="1">
      <alignment horizontal="center"/>
    </xf>
    <xf numFmtId="3" fontId="11" fillId="0" borderId="11" xfId="0" applyNumberFormat="1" applyFont="1" applyFill="1" applyBorder="1" applyAlignment="1">
      <alignment horizontal="center"/>
    </xf>
    <xf numFmtId="2" fontId="11" fillId="0" borderId="12" xfId="0" applyNumberFormat="1" applyFont="1" applyFill="1" applyBorder="1" applyAlignment="1">
      <alignment horizontal="center"/>
    </xf>
    <xf numFmtId="0" fontId="31" fillId="16" borderId="4" xfId="0" applyFont="1" applyFill="1" applyBorder="1" applyAlignment="1">
      <alignment horizontal="left"/>
    </xf>
    <xf numFmtId="0" fontId="31" fillId="16" borderId="5" xfId="0" applyFont="1" applyFill="1" applyBorder="1" applyAlignment="1">
      <alignment horizontal="left"/>
    </xf>
    <xf numFmtId="0" fontId="31" fillId="16" borderId="9" xfId="0" applyFont="1" applyFill="1" applyBorder="1" applyAlignment="1">
      <alignment horizontal="left"/>
    </xf>
    <xf numFmtId="0" fontId="32" fillId="15" borderId="7" xfId="0" applyFont="1" applyFill="1" applyBorder="1" applyAlignment="1">
      <alignment horizontal="left"/>
    </xf>
    <xf numFmtId="0" fontId="11" fillId="0" borderId="8" xfId="0" applyFont="1" applyFill="1" applyBorder="1" applyAlignment="1">
      <alignment vertical="top" wrapText="1"/>
    </xf>
    <xf numFmtId="0" fontId="33" fillId="17" borderId="14" xfId="0" applyFont="1" applyFill="1" applyBorder="1" applyAlignment="1">
      <alignment horizontal="left"/>
    </xf>
    <xf numFmtId="0" fontId="11" fillId="0" borderId="13" xfId="0" applyFont="1" applyFill="1" applyBorder="1" applyAlignment="1"/>
    <xf numFmtId="0" fontId="32" fillId="17" borderId="7" xfId="0" applyFont="1" applyFill="1" applyBorder="1" applyAlignment="1">
      <alignment horizontal="left"/>
    </xf>
    <xf numFmtId="3" fontId="11" fillId="18" borderId="8" xfId="0" applyNumberFormat="1" applyFont="1" applyFill="1" applyBorder="1" applyAlignment="1">
      <alignment horizontal="center"/>
    </xf>
    <xf numFmtId="0" fontId="11" fillId="18" borderId="8" xfId="0" applyFont="1" applyFill="1" applyBorder="1" applyAlignment="1">
      <alignment horizontal="center"/>
    </xf>
    <xf numFmtId="0" fontId="11" fillId="0" borderId="13" xfId="0" applyFont="1" applyFill="1" applyBorder="1" applyAlignment="1">
      <alignment horizontal="center"/>
    </xf>
    <xf numFmtId="10" fontId="11" fillId="0" borderId="8" xfId="0" applyNumberFormat="1" applyFont="1" applyFill="1" applyBorder="1" applyAlignment="1">
      <alignment horizontal="center"/>
    </xf>
    <xf numFmtId="3" fontId="11" fillId="0" borderId="8" xfId="0" applyNumberFormat="1" applyFont="1" applyFill="1" applyBorder="1" applyAlignment="1">
      <alignment horizontal="center"/>
    </xf>
    <xf numFmtId="0" fontId="32" fillId="17" borderId="9" xfId="0" applyFont="1" applyFill="1" applyBorder="1" applyAlignment="1">
      <alignment horizontal="left"/>
    </xf>
    <xf numFmtId="0" fontId="32" fillId="17" borderId="2" xfId="0" applyFont="1" applyFill="1" applyBorder="1" applyAlignment="1">
      <alignment horizontal="left"/>
    </xf>
    <xf numFmtId="2" fontId="11" fillId="0" borderId="2" xfId="0" applyNumberFormat="1" applyFont="1" applyFill="1" applyBorder="1" applyAlignment="1">
      <alignment horizontal="center"/>
    </xf>
    <xf numFmtId="2" fontId="11" fillId="0" borderId="10" xfId="0" applyNumberFormat="1" applyFont="1" applyFill="1" applyBorder="1" applyAlignment="1">
      <alignment horizontal="center"/>
    </xf>
    <xf numFmtId="0" fontId="11" fillId="0" borderId="11" xfId="0" applyFont="1" applyFill="1" applyBorder="1" applyAlignment="1"/>
    <xf numFmtId="0" fontId="11" fillId="0" borderId="11" xfId="0" applyFont="1" applyFill="1" applyBorder="1" applyAlignment="1">
      <alignment horizontal="center"/>
    </xf>
    <xf numFmtId="0" fontId="30" fillId="16" borderId="3" xfId="0" applyFont="1" applyFill="1" applyBorder="1" applyAlignment="1">
      <alignment horizontal="center" vertical="center"/>
    </xf>
    <xf numFmtId="0" fontId="30" fillId="16" borderId="5" xfId="0" applyFont="1" applyFill="1" applyBorder="1" applyAlignment="1">
      <alignment horizontal="center" vertical="center"/>
    </xf>
    <xf numFmtId="0" fontId="30" fillId="16" borderId="6" xfId="0" applyFont="1" applyFill="1" applyBorder="1" applyAlignment="1">
      <alignment horizontal="center" vertical="center"/>
    </xf>
    <xf numFmtId="0" fontId="30" fillId="16" borderId="12" xfId="0" applyFont="1" applyFill="1" applyBorder="1" applyAlignment="1">
      <alignment horizontal="center" vertical="center"/>
    </xf>
    <xf numFmtId="0" fontId="30" fillId="16" borderId="2" xfId="0" applyFont="1" applyFill="1" applyBorder="1" applyAlignment="1">
      <alignment horizontal="center" vertical="center"/>
    </xf>
    <xf numFmtId="0" fontId="30" fillId="16" borderId="10" xfId="0" applyFont="1" applyFill="1" applyBorder="1" applyAlignment="1">
      <alignment horizontal="center" vertical="center"/>
    </xf>
    <xf numFmtId="10" fontId="21" fillId="5" borderId="3" xfId="2" applyNumberFormat="1" applyFont="1" applyFill="1" applyBorder="1" applyAlignment="1">
      <alignment horizontal="center"/>
    </xf>
    <xf numFmtId="0" fontId="21" fillId="5" borderId="11" xfId="0" applyFont="1" applyFill="1" applyBorder="1"/>
    <xf numFmtId="3" fontId="21" fillId="5" borderId="11" xfId="0" applyNumberFormat="1" applyFont="1" applyFill="1" applyBorder="1" applyAlignment="1">
      <alignment horizontal="center"/>
    </xf>
    <xf numFmtId="10" fontId="21" fillId="5" borderId="11" xfId="0" applyNumberFormat="1" applyFont="1" applyFill="1" applyBorder="1" applyAlignment="1">
      <alignment horizontal="center"/>
    </xf>
    <xf numFmtId="2" fontId="21" fillId="5" borderId="12" xfId="0" applyNumberFormat="1" applyFont="1" applyFill="1" applyBorder="1" applyAlignment="1">
      <alignment horizontal="center"/>
    </xf>
    <xf numFmtId="10" fontId="21" fillId="5" borderId="3" xfId="2" applyNumberFormat="1" applyFont="1" applyFill="1" applyBorder="1" applyAlignment="1">
      <alignment horizontal="center" vertical="center"/>
    </xf>
    <xf numFmtId="0" fontId="21" fillId="5" borderId="11" xfId="0" applyFont="1" applyFill="1" applyBorder="1" applyAlignment="1">
      <alignment vertical="center"/>
    </xf>
    <xf numFmtId="3" fontId="21" fillId="5" borderId="11" xfId="0" applyNumberFormat="1" applyFont="1" applyFill="1" applyBorder="1" applyAlignment="1">
      <alignment horizontal="center" vertical="center"/>
    </xf>
    <xf numFmtId="10" fontId="21" fillId="5" borderId="11" xfId="0" applyNumberFormat="1" applyFont="1" applyFill="1" applyBorder="1" applyAlignment="1">
      <alignment horizontal="center" vertical="center"/>
    </xf>
    <xf numFmtId="2" fontId="21" fillId="5" borderId="12" xfId="0" applyNumberFormat="1" applyFont="1" applyFill="1" applyBorder="1" applyAlignment="1">
      <alignment horizontal="center" vertical="center"/>
    </xf>
    <xf numFmtId="3" fontId="12" fillId="5" borderId="1" xfId="0" applyNumberFormat="1" applyFont="1" applyFill="1" applyBorder="1" applyAlignment="1">
      <alignment horizontal="center" vertical="center" wrapText="1"/>
    </xf>
    <xf numFmtId="3" fontId="11" fillId="5" borderId="1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11" fillId="2" borderId="1" xfId="0" applyNumberFormat="1" applyFont="1" applyFill="1" applyBorder="1" applyAlignment="1">
      <alignment horizontal="center" vertical="center" wrapText="1"/>
    </xf>
    <xf numFmtId="166" fontId="11" fillId="2" borderId="1" xfId="2" applyNumberFormat="1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 wrapText="1"/>
    </xf>
    <xf numFmtId="176" fontId="11" fillId="5" borderId="13" xfId="0" applyNumberFormat="1" applyFont="1" applyFill="1" applyBorder="1" applyAlignment="1">
      <alignment horizontal="center" vertical="center" wrapText="1"/>
    </xf>
    <xf numFmtId="3" fontId="11" fillId="2" borderId="1" xfId="2" applyNumberFormat="1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center" vertical="center" wrapText="1"/>
    </xf>
    <xf numFmtId="171" fontId="11" fillId="0" borderId="1" xfId="0" applyNumberFormat="1" applyFont="1" applyBorder="1" applyAlignment="1">
      <alignment horizontal="center" vertical="center" wrapText="1"/>
    </xf>
    <xf numFmtId="166" fontId="11" fillId="0" borderId="1" xfId="2" applyNumberFormat="1" applyFont="1" applyBorder="1" applyAlignment="1">
      <alignment horizontal="center" vertical="center" wrapText="1"/>
    </xf>
    <xf numFmtId="3" fontId="11" fillId="2" borderId="4" xfId="2" applyNumberFormat="1" applyFont="1" applyFill="1" applyBorder="1" applyAlignment="1">
      <alignment horizontal="center" vertical="center" wrapText="1"/>
    </xf>
    <xf numFmtId="3" fontId="11" fillId="2" borderId="9" xfId="2" applyNumberFormat="1" applyFont="1" applyFill="1" applyBorder="1" applyAlignment="1">
      <alignment horizontal="center" vertical="center" wrapText="1"/>
    </xf>
    <xf numFmtId="3" fontId="11" fillId="2" borderId="0" xfId="0" applyNumberFormat="1" applyFont="1" applyFill="1" applyAlignment="1">
      <alignment horizontal="center" vertical="center" wrapText="1"/>
    </xf>
    <xf numFmtId="3" fontId="12" fillId="4" borderId="1" xfId="0" applyNumberFormat="1" applyFont="1" applyFill="1" applyBorder="1" applyAlignment="1">
      <alignment horizontal="center" vertical="center" wrapText="1"/>
    </xf>
    <xf numFmtId="3" fontId="11" fillId="2" borderId="0" xfId="0" applyNumberFormat="1" applyFont="1" applyFill="1" applyBorder="1" applyAlignment="1">
      <alignment horizontal="center" vertical="center" wrapText="1"/>
    </xf>
    <xf numFmtId="9" fontId="11" fillId="0" borderId="1" xfId="2" applyNumberFormat="1" applyFont="1" applyBorder="1" applyAlignment="1">
      <alignment horizontal="center" vertical="center" wrapText="1"/>
    </xf>
    <xf numFmtId="3" fontId="11" fillId="5" borderId="14" xfId="0" applyNumberFormat="1" applyFont="1" applyFill="1" applyBorder="1" applyAlignment="1">
      <alignment horizontal="center" vertical="center" wrapText="1"/>
    </xf>
    <xf numFmtId="3" fontId="12" fillId="5" borderId="13" xfId="0" applyNumberFormat="1" applyFont="1" applyFill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9" fontId="11" fillId="0" borderId="0" xfId="2" applyNumberFormat="1" applyFont="1" applyAlignment="1">
      <alignment horizontal="center" vertical="center" wrapText="1"/>
    </xf>
    <xf numFmtId="9" fontId="11" fillId="0" borderId="1" xfId="0" applyNumberFormat="1" applyFont="1" applyBorder="1" applyAlignment="1">
      <alignment horizontal="center" vertical="center" wrapText="1"/>
    </xf>
    <xf numFmtId="9" fontId="11" fillId="5" borderId="1" xfId="2" applyNumberFormat="1" applyFont="1" applyFill="1" applyBorder="1" applyAlignment="1">
      <alignment horizontal="center" vertical="center" wrapText="1"/>
    </xf>
    <xf numFmtId="166" fontId="11" fillId="5" borderId="1" xfId="2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3" fontId="12" fillId="4" borderId="1" xfId="0" applyNumberFormat="1" applyFont="1" applyFill="1" applyBorder="1" applyAlignment="1">
      <alignment horizontal="center" vertical="center" wrapText="1"/>
    </xf>
    <xf numFmtId="3" fontId="12" fillId="5" borderId="1" xfId="0" applyNumberFormat="1" applyFont="1" applyFill="1" applyBorder="1" applyAlignment="1">
      <alignment horizontal="center" vertical="center" wrapText="1"/>
    </xf>
    <xf numFmtId="3" fontId="12" fillId="5" borderId="6" xfId="0" applyNumberFormat="1" applyFont="1" applyFill="1" applyBorder="1" applyAlignment="1">
      <alignment horizontal="center" vertical="center" wrapText="1"/>
    </xf>
    <xf numFmtId="3" fontId="12" fillId="5" borderId="8" xfId="0" applyNumberFormat="1" applyFont="1" applyFill="1" applyBorder="1" applyAlignment="1">
      <alignment horizontal="center" vertical="center" wrapText="1"/>
    </xf>
    <xf numFmtId="3" fontId="12" fillId="5" borderId="10" xfId="0" applyNumberFormat="1" applyFont="1" applyFill="1" applyBorder="1" applyAlignment="1">
      <alignment horizontal="center" vertical="center" wrapText="1"/>
    </xf>
    <xf numFmtId="3" fontId="12" fillId="5" borderId="3" xfId="0" applyNumberFormat="1" applyFont="1" applyFill="1" applyBorder="1" applyAlignment="1">
      <alignment horizontal="center" vertical="center" wrapText="1"/>
    </xf>
    <xf numFmtId="3" fontId="12" fillId="5" borderId="12" xfId="0" applyNumberFormat="1" applyFont="1" applyFill="1" applyBorder="1" applyAlignment="1">
      <alignment horizontal="center" vertical="center" wrapText="1"/>
    </xf>
    <xf numFmtId="3" fontId="11" fillId="5" borderId="14" xfId="0" applyNumberFormat="1" applyFont="1" applyFill="1" applyBorder="1" applyAlignment="1">
      <alignment horizontal="center" vertical="center" wrapText="1"/>
    </xf>
    <xf numFmtId="3" fontId="11" fillId="5" borderId="13" xfId="0" applyNumberFormat="1" applyFont="1" applyFill="1" applyBorder="1" applyAlignment="1">
      <alignment horizontal="center" vertical="center" wrapText="1"/>
    </xf>
    <xf numFmtId="3" fontId="12" fillId="4" borderId="14" xfId="0" applyNumberFormat="1" applyFont="1" applyFill="1" applyBorder="1" applyAlignment="1">
      <alignment horizontal="center" vertical="center" wrapText="1"/>
    </xf>
    <xf numFmtId="3" fontId="12" fillId="4" borderId="15" xfId="0" applyNumberFormat="1" applyFont="1" applyFill="1" applyBorder="1" applyAlignment="1">
      <alignment horizontal="center" vertical="center" wrapText="1"/>
    </xf>
    <xf numFmtId="3" fontId="12" fillId="4" borderId="13" xfId="0" applyNumberFormat="1" applyFont="1" applyFill="1" applyBorder="1" applyAlignment="1">
      <alignment horizontal="center" vertical="center" wrapText="1"/>
    </xf>
    <xf numFmtId="3" fontId="12" fillId="4" borderId="4" xfId="0" applyNumberFormat="1" applyFont="1" applyFill="1" applyBorder="1" applyAlignment="1">
      <alignment horizontal="center" vertical="center" wrapText="1"/>
    </xf>
    <xf numFmtId="3" fontId="12" fillId="4" borderId="5" xfId="0" applyNumberFormat="1" applyFont="1" applyFill="1" applyBorder="1" applyAlignment="1">
      <alignment horizontal="center" vertical="center" wrapText="1"/>
    </xf>
    <xf numFmtId="3" fontId="12" fillId="4" borderId="6" xfId="0" applyNumberFormat="1" applyFont="1" applyFill="1" applyBorder="1" applyAlignment="1">
      <alignment horizontal="center" vertical="center" wrapText="1"/>
    </xf>
    <xf numFmtId="3" fontId="12" fillId="5" borderId="11" xfId="0" applyNumberFormat="1" applyFont="1" applyFill="1" applyBorder="1" applyAlignment="1">
      <alignment horizontal="center" vertical="center" wrapText="1"/>
    </xf>
    <xf numFmtId="3" fontId="12" fillId="5" borderId="14" xfId="0" applyNumberFormat="1" applyFont="1" applyFill="1" applyBorder="1" applyAlignment="1">
      <alignment horizontal="center" vertical="center" wrapText="1"/>
    </xf>
    <xf numFmtId="3" fontId="12" fillId="5" borderId="13" xfId="0" applyNumberFormat="1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/>
    </xf>
    <xf numFmtId="0" fontId="12" fillId="3" borderId="15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2" fillId="5" borderId="14" xfId="0" applyFont="1" applyFill="1" applyBorder="1" applyAlignment="1">
      <alignment horizontal="center" vertical="center"/>
    </xf>
    <xf numFmtId="0" fontId="12" fillId="5" borderId="15" xfId="0" applyFont="1" applyFill="1" applyBorder="1" applyAlignment="1">
      <alignment horizontal="center" vertical="center"/>
    </xf>
    <xf numFmtId="0" fontId="12" fillId="5" borderId="13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3" fontId="11" fillId="2" borderId="3" xfId="0" applyNumberFormat="1" applyFont="1" applyFill="1" applyBorder="1" applyAlignment="1">
      <alignment horizontal="center" vertical="center"/>
    </xf>
    <xf numFmtId="3" fontId="11" fillId="2" borderId="11" xfId="0" applyNumberFormat="1" applyFont="1" applyFill="1" applyBorder="1" applyAlignment="1">
      <alignment horizontal="center" vertical="center"/>
    </xf>
    <xf numFmtId="3" fontId="11" fillId="2" borderId="12" xfId="0" applyNumberFormat="1" applyFont="1" applyFill="1" applyBorder="1" applyAlignment="1">
      <alignment horizontal="center" vertical="center"/>
    </xf>
    <xf numFmtId="1" fontId="11" fillId="2" borderId="3" xfId="0" applyNumberFormat="1" applyFont="1" applyFill="1" applyBorder="1" applyAlignment="1">
      <alignment horizontal="center" vertical="center"/>
    </xf>
    <xf numFmtId="1" fontId="11" fillId="2" borderId="11" xfId="0" applyNumberFormat="1" applyFont="1" applyFill="1" applyBorder="1" applyAlignment="1">
      <alignment horizontal="center" vertical="center"/>
    </xf>
    <xf numFmtId="1" fontId="11" fillId="2" borderId="12" xfId="0" applyNumberFormat="1" applyFont="1" applyFill="1" applyBorder="1" applyAlignment="1">
      <alignment horizontal="center" vertical="center"/>
    </xf>
    <xf numFmtId="0" fontId="12" fillId="5" borderId="1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20" fillId="2" borderId="9" xfId="8" applyFont="1" applyFill="1" applyBorder="1" applyAlignment="1">
      <alignment horizontal="left"/>
    </xf>
    <xf numFmtId="0" fontId="6" fillId="2" borderId="2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left"/>
    </xf>
    <xf numFmtId="0" fontId="6" fillId="5" borderId="14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5" borderId="15" xfId="0" applyFont="1" applyFill="1" applyBorder="1" applyAlignment="1">
      <alignment horizontal="center"/>
    </xf>
    <xf numFmtId="0" fontId="20" fillId="2" borderId="14" xfId="8" applyFont="1" applyFill="1" applyBorder="1" applyAlignment="1">
      <alignment horizontal="left"/>
    </xf>
    <xf numFmtId="0" fontId="6" fillId="2" borderId="15" xfId="0" applyFont="1" applyFill="1" applyBorder="1" applyAlignment="1">
      <alignment horizontal="left"/>
    </xf>
    <xf numFmtId="0" fontId="6" fillId="2" borderId="13" xfId="0" applyFont="1" applyFill="1" applyBorder="1" applyAlignment="1">
      <alignment horizontal="left"/>
    </xf>
    <xf numFmtId="0" fontId="20" fillId="2" borderId="7" xfId="8" applyFont="1" applyFill="1" applyBorder="1" applyAlignment="1">
      <alignment horizontal="left" wrapText="1"/>
    </xf>
    <xf numFmtId="0" fontId="20" fillId="2" borderId="0" xfId="8" applyFont="1" applyFill="1" applyBorder="1" applyAlignment="1">
      <alignment horizontal="left" wrapText="1"/>
    </xf>
    <xf numFmtId="0" fontId="20" fillId="2" borderId="8" xfId="8" applyFont="1" applyFill="1" applyBorder="1" applyAlignment="1">
      <alignment horizontal="left" wrapText="1"/>
    </xf>
    <xf numFmtId="0" fontId="20" fillId="2" borderId="7" xfId="8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6" fillId="2" borderId="8" xfId="0" applyFont="1" applyFill="1" applyBorder="1" applyAlignment="1">
      <alignment horizontal="left"/>
    </xf>
    <xf numFmtId="0" fontId="12" fillId="5" borderId="14" xfId="0" applyFont="1" applyFill="1" applyBorder="1" applyAlignment="1">
      <alignment horizontal="center"/>
    </xf>
    <xf numFmtId="0" fontId="12" fillId="5" borderId="5" xfId="0" applyFont="1" applyFill="1" applyBorder="1" applyAlignment="1">
      <alignment horizontal="center"/>
    </xf>
    <xf numFmtId="0" fontId="12" fillId="5" borderId="13" xfId="0" applyFont="1" applyFill="1" applyBorder="1" applyAlignment="1">
      <alignment horizontal="center"/>
    </xf>
    <xf numFmtId="0" fontId="21" fillId="5" borderId="1" xfId="0" applyFont="1" applyFill="1" applyBorder="1" applyAlignment="1">
      <alignment horizontal="center" vertical="center"/>
    </xf>
    <xf numFmtId="0" fontId="21" fillId="5" borderId="3" xfId="0" applyFont="1" applyFill="1" applyBorder="1" applyAlignment="1">
      <alignment horizontal="center" vertical="center"/>
    </xf>
    <xf numFmtId="0" fontId="21" fillId="5" borderId="4" xfId="0" applyFont="1" applyFill="1" applyBorder="1" applyAlignment="1">
      <alignment horizontal="center" vertical="center"/>
    </xf>
    <xf numFmtId="0" fontId="21" fillId="5" borderId="5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1" fillId="2" borderId="14" xfId="0" applyFont="1" applyFill="1" applyBorder="1" applyAlignment="1">
      <alignment horizontal="center"/>
    </xf>
    <xf numFmtId="0" fontId="21" fillId="2" borderId="15" xfId="0" applyFont="1" applyFill="1" applyBorder="1" applyAlignment="1">
      <alignment horizontal="center"/>
    </xf>
    <xf numFmtId="0" fontId="21" fillId="2" borderId="13" xfId="0" applyFont="1" applyFill="1" applyBorder="1" applyAlignment="1">
      <alignment horizontal="center"/>
    </xf>
    <xf numFmtId="0" fontId="20" fillId="2" borderId="9" xfId="8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6" fillId="5" borderId="14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20" fillId="2" borderId="14" xfId="8" applyFont="1" applyFill="1" applyBorder="1" applyAlignment="1">
      <alignment horizontal="left" vertical="center"/>
    </xf>
    <xf numFmtId="0" fontId="6" fillId="2" borderId="15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horizontal="left" vertical="center"/>
    </xf>
    <xf numFmtId="0" fontId="20" fillId="2" borderId="7" xfId="8" applyFont="1" applyFill="1" applyBorder="1" applyAlignment="1">
      <alignment horizontal="left" vertical="center" wrapText="1"/>
    </xf>
    <xf numFmtId="0" fontId="20" fillId="2" borderId="0" xfId="8" applyFont="1" applyFill="1" applyBorder="1" applyAlignment="1">
      <alignment horizontal="left" vertical="center" wrapText="1"/>
    </xf>
    <xf numFmtId="0" fontId="20" fillId="2" borderId="8" xfId="8" applyFont="1" applyFill="1" applyBorder="1" applyAlignment="1">
      <alignment horizontal="left" vertical="center" wrapText="1"/>
    </xf>
    <xf numFmtId="0" fontId="20" fillId="2" borderId="7" xfId="8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left" vertical="center"/>
    </xf>
    <xf numFmtId="0" fontId="15" fillId="5" borderId="1" xfId="5" applyFont="1" applyFill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4" fillId="5" borderId="14" xfId="5" applyFont="1" applyFill="1" applyBorder="1" applyAlignment="1">
      <alignment horizontal="center" vertical="center" wrapText="1"/>
    </xf>
    <xf numFmtId="0" fontId="14" fillId="5" borderId="13" xfId="5" applyFont="1" applyFill="1" applyBorder="1" applyAlignment="1">
      <alignment horizontal="center" vertical="center" wrapText="1"/>
    </xf>
    <xf numFmtId="0" fontId="15" fillId="5" borderId="14" xfId="5" applyFont="1" applyFill="1" applyBorder="1" applyAlignment="1">
      <alignment horizontal="center" vertical="center" wrapText="1"/>
    </xf>
    <xf numFmtId="0" fontId="15" fillId="5" borderId="13" xfId="5" applyFont="1" applyFill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6" fillId="5" borderId="14" xfId="0" applyFont="1" applyFill="1" applyBorder="1" applyAlignment="1">
      <alignment horizontal="center" vertical="center"/>
    </xf>
    <xf numFmtId="0" fontId="16" fillId="5" borderId="13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 wrapText="1"/>
    </xf>
    <xf numFmtId="9" fontId="11" fillId="5" borderId="3" xfId="0" applyNumberFormat="1" applyFont="1" applyFill="1" applyBorder="1" applyAlignment="1">
      <alignment horizontal="center" vertical="center"/>
    </xf>
    <xf numFmtId="9" fontId="11" fillId="5" borderId="12" xfId="0" applyNumberFormat="1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3" fontId="23" fillId="5" borderId="14" xfId="0" applyNumberFormat="1" applyFont="1" applyFill="1" applyBorder="1" applyAlignment="1">
      <alignment horizontal="center" vertical="center"/>
    </xf>
    <xf numFmtId="3" fontId="23" fillId="5" borderId="15" xfId="0" applyNumberFormat="1" applyFont="1" applyFill="1" applyBorder="1" applyAlignment="1">
      <alignment horizontal="center" vertical="center"/>
    </xf>
    <xf numFmtId="3" fontId="23" fillId="5" borderId="13" xfId="0" applyNumberFormat="1" applyFont="1" applyFill="1" applyBorder="1" applyAlignment="1">
      <alignment horizontal="center" vertical="center"/>
    </xf>
    <xf numFmtId="0" fontId="23" fillId="5" borderId="14" xfId="0" applyFont="1" applyFill="1" applyBorder="1" applyAlignment="1">
      <alignment horizontal="center" vertical="center"/>
    </xf>
    <xf numFmtId="0" fontId="23" fillId="5" borderId="15" xfId="0" applyFont="1" applyFill="1" applyBorder="1" applyAlignment="1">
      <alignment horizontal="center" vertical="center"/>
    </xf>
    <xf numFmtId="0" fontId="23" fillId="5" borderId="13" xfId="0" applyFont="1" applyFill="1" applyBorder="1" applyAlignment="1">
      <alignment horizontal="center" vertical="center"/>
    </xf>
    <xf numFmtId="9" fontId="22" fillId="2" borderId="14" xfId="2" applyFont="1" applyFill="1" applyBorder="1" applyAlignment="1">
      <alignment horizontal="center" vertical="center"/>
    </xf>
    <xf numFmtId="9" fontId="22" fillId="2" borderId="13" xfId="2" applyFont="1" applyFill="1" applyBorder="1" applyAlignment="1">
      <alignment horizontal="center" vertical="center"/>
    </xf>
    <xf numFmtId="3" fontId="22" fillId="2" borderId="14" xfId="0" applyNumberFormat="1" applyFont="1" applyFill="1" applyBorder="1" applyAlignment="1">
      <alignment horizontal="center" vertical="center"/>
    </xf>
    <xf numFmtId="3" fontId="22" fillId="2" borderId="13" xfId="0" applyNumberFormat="1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3" fillId="5" borderId="6" xfId="0" applyFont="1" applyFill="1" applyBorder="1" applyAlignment="1">
      <alignment horizontal="center" vertical="center"/>
    </xf>
    <xf numFmtId="3" fontId="10" fillId="5" borderId="14" xfId="0" applyNumberFormat="1" applyFont="1" applyFill="1" applyBorder="1" applyAlignment="1">
      <alignment horizontal="center" vertical="center"/>
    </xf>
    <xf numFmtId="3" fontId="10" fillId="5" borderId="15" xfId="0" applyNumberFormat="1" applyFont="1" applyFill="1" applyBorder="1" applyAlignment="1">
      <alignment horizontal="center" vertical="center"/>
    </xf>
    <xf numFmtId="3" fontId="10" fillId="5" borderId="13" xfId="0" applyNumberFormat="1" applyFont="1" applyFill="1" applyBorder="1" applyAlignment="1">
      <alignment horizontal="center" vertical="center"/>
    </xf>
    <xf numFmtId="3" fontId="9" fillId="2" borderId="1" xfId="6" applyNumberFormat="1" applyFont="1" applyFill="1" applyBorder="1" applyAlignment="1">
      <alignment horizontal="center" vertical="center"/>
    </xf>
    <xf numFmtId="0" fontId="9" fillId="5" borderId="14" xfId="5" applyFont="1" applyFill="1" applyBorder="1" applyAlignment="1">
      <alignment horizontal="center" vertical="center" wrapText="1"/>
    </xf>
    <xf numFmtId="0" fontId="9" fillId="5" borderId="15" xfId="5" applyFont="1" applyFill="1" applyBorder="1" applyAlignment="1">
      <alignment horizontal="center" vertical="center" wrapText="1"/>
    </xf>
    <xf numFmtId="0" fontId="9" fillId="5" borderId="13" xfId="5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/>
    </xf>
    <xf numFmtId="0" fontId="9" fillId="5" borderId="1" xfId="5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3" fontId="10" fillId="5" borderId="21" xfId="0" applyNumberFormat="1" applyFont="1" applyFill="1" applyBorder="1" applyAlignment="1">
      <alignment horizontal="center" vertical="center"/>
    </xf>
    <xf numFmtId="3" fontId="10" fillId="5" borderId="39" xfId="0" applyNumberFormat="1" applyFont="1" applyFill="1" applyBorder="1" applyAlignment="1">
      <alignment horizontal="center" vertical="center"/>
    </xf>
    <xf numFmtId="0" fontId="9" fillId="10" borderId="22" xfId="0" applyFont="1" applyFill="1" applyBorder="1" applyAlignment="1">
      <alignment horizontal="center" vertical="center" wrapText="1"/>
    </xf>
    <xf numFmtId="0" fontId="9" fillId="5" borderId="28" xfId="0" applyFont="1" applyFill="1" applyBorder="1" applyAlignment="1">
      <alignment horizontal="center" vertical="center"/>
    </xf>
    <xf numFmtId="0" fontId="9" fillId="5" borderId="30" xfId="0" applyFont="1" applyFill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/>
    </xf>
    <xf numFmtId="0" fontId="9" fillId="5" borderId="24" xfId="0" applyFont="1" applyFill="1" applyBorder="1" applyAlignment="1">
      <alignment horizontal="center" vertical="center"/>
    </xf>
    <xf numFmtId="0" fontId="9" fillId="10" borderId="22" xfId="0" applyFont="1" applyFill="1" applyBorder="1" applyAlignment="1">
      <alignment horizontal="center" vertical="center"/>
    </xf>
    <xf numFmtId="0" fontId="9" fillId="5" borderId="23" xfId="0" applyFont="1" applyFill="1" applyBorder="1" applyAlignment="1">
      <alignment horizontal="center" vertical="center"/>
    </xf>
    <xf numFmtId="0" fontId="9" fillId="11" borderId="30" xfId="0" applyFont="1" applyFill="1" applyBorder="1" applyAlignment="1">
      <alignment horizontal="center" vertical="center" wrapText="1"/>
    </xf>
    <xf numFmtId="0" fontId="9" fillId="10" borderId="34" xfId="0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/>
    </xf>
    <xf numFmtId="0" fontId="9" fillId="5" borderId="36" xfId="0" applyFont="1" applyFill="1" applyBorder="1" applyAlignment="1">
      <alignment horizontal="center" vertical="center"/>
    </xf>
    <xf numFmtId="0" fontId="9" fillId="10" borderId="34" xfId="0" applyFont="1" applyFill="1" applyBorder="1" applyAlignment="1">
      <alignment horizontal="center" vertical="center"/>
    </xf>
    <xf numFmtId="3" fontId="9" fillId="10" borderId="22" xfId="0" applyNumberFormat="1" applyFont="1" applyFill="1" applyBorder="1" applyAlignment="1">
      <alignment horizontal="center" vertical="center" wrapText="1"/>
    </xf>
    <xf numFmtId="3" fontId="9" fillId="5" borderId="23" xfId="0" applyNumberFormat="1" applyFont="1" applyFill="1" applyBorder="1" applyAlignment="1">
      <alignment horizontal="center" vertical="center" wrapText="1"/>
    </xf>
    <xf numFmtId="3" fontId="9" fillId="10" borderId="28" xfId="0" applyNumberFormat="1" applyFont="1" applyFill="1" applyBorder="1" applyAlignment="1">
      <alignment horizontal="center" vertical="center" wrapText="1"/>
    </xf>
    <xf numFmtId="0" fontId="10" fillId="11" borderId="21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center" vertical="center"/>
    </xf>
    <xf numFmtId="3" fontId="9" fillId="10" borderId="1" xfId="0" applyNumberFormat="1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 wrapText="1"/>
    </xf>
    <xf numFmtId="0" fontId="9" fillId="10" borderId="28" xfId="0" applyFont="1" applyFill="1" applyBorder="1" applyAlignment="1">
      <alignment horizontal="center" vertical="center"/>
    </xf>
    <xf numFmtId="0" fontId="9" fillId="5" borderId="27" xfId="0" applyFont="1" applyFill="1" applyBorder="1" applyAlignment="1">
      <alignment horizontal="center" vertical="center" wrapText="1"/>
    </xf>
    <xf numFmtId="3" fontId="9" fillId="5" borderId="23" xfId="0" applyNumberFormat="1" applyFont="1" applyFill="1" applyBorder="1" applyAlignment="1">
      <alignment horizontal="center" vertical="center"/>
    </xf>
    <xf numFmtId="0" fontId="10" fillId="5" borderId="21" xfId="0" applyFont="1" applyFill="1" applyBorder="1" applyAlignment="1">
      <alignment horizontal="center" vertical="center"/>
    </xf>
    <xf numFmtId="0" fontId="10" fillId="11" borderId="30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9" fillId="5" borderId="40" xfId="0" applyFont="1" applyFill="1" applyBorder="1" applyAlignment="1">
      <alignment horizontal="center" vertical="center" wrapText="1"/>
    </xf>
    <xf numFmtId="0" fontId="9" fillId="5" borderId="41" xfId="0" applyFont="1" applyFill="1" applyBorder="1" applyAlignment="1">
      <alignment horizontal="center" vertical="center" wrapText="1"/>
    </xf>
    <xf numFmtId="0" fontId="9" fillId="5" borderId="42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3" fontId="6" fillId="2" borderId="3" xfId="0" applyNumberFormat="1" applyFont="1" applyFill="1" applyBorder="1" applyAlignment="1">
      <alignment horizontal="center" vertical="center"/>
    </xf>
    <xf numFmtId="3" fontId="6" fillId="2" borderId="11" xfId="0" applyNumberFormat="1" applyFont="1" applyFill="1" applyBorder="1" applyAlignment="1">
      <alignment horizontal="center" vertical="center"/>
    </xf>
    <xf numFmtId="3" fontId="6" fillId="2" borderId="12" xfId="0" applyNumberFormat="1" applyFont="1" applyFill="1" applyBorder="1" applyAlignment="1">
      <alignment horizontal="center" vertical="center"/>
    </xf>
    <xf numFmtId="3" fontId="6" fillId="2" borderId="14" xfId="0" applyNumberFormat="1" applyFont="1" applyFill="1" applyBorder="1" applyAlignment="1">
      <alignment horizontal="center" vertical="center"/>
    </xf>
    <xf numFmtId="3" fontId="6" fillId="2" borderId="15" xfId="0" applyNumberFormat="1" applyFont="1" applyFill="1" applyBorder="1" applyAlignment="1">
      <alignment horizontal="center" vertical="center"/>
    </xf>
    <xf numFmtId="3" fontId="6" fillId="2" borderId="13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</cellXfs>
  <cellStyles count="9">
    <cellStyle name="Comma 2" xfId="7"/>
    <cellStyle name="Hipervínculo" xfId="8" builtinId="8"/>
    <cellStyle name="Millares" xfId="1" builtinId="3"/>
    <cellStyle name="Millares 2" xfId="4"/>
    <cellStyle name="Moneda 2" xfId="6"/>
    <cellStyle name="Normal" xfId="0" builtinId="0"/>
    <cellStyle name="Normal 2 2" xfId="3"/>
    <cellStyle name="Porcentaje" xfId="2" builtinId="5"/>
    <cellStyle name="style1428071974133" xfId="5"/>
  </cellStyles>
  <dxfs count="0"/>
  <tableStyles count="0" defaultTableStyle="TableStyleMedium2" defaultPivotStyle="PivotStyleLight16"/>
  <colors>
    <mruColors>
      <color rgb="FFDCB9FF"/>
      <color rgb="FFFFCCFF"/>
      <color rgb="FFFFE5FF"/>
      <color rgb="FFFF99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P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PUNTO DE EQUILIBRIO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'PUNTO DE EQUILIBRIO'!$D$6</c:f>
              <c:strCache>
                <c:ptCount val="1"/>
                <c:pt idx="0">
                  <c:v>VENTAS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'PUNTO DE EQUILIBRIO'!$E$5:$N$5</c:f>
              <c:strCache>
                <c:ptCount val="10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  <c:pt idx="5">
                  <c:v>AÑO 6</c:v>
                </c:pt>
                <c:pt idx="6">
                  <c:v>AÑO 7</c:v>
                </c:pt>
                <c:pt idx="7">
                  <c:v>AÑO 8</c:v>
                </c:pt>
                <c:pt idx="8">
                  <c:v>AÑO 9</c:v>
                </c:pt>
                <c:pt idx="9">
                  <c:v>AÑO 10</c:v>
                </c:pt>
              </c:strCache>
            </c:strRef>
          </c:cat>
          <c:val>
            <c:numRef>
              <c:f>'PUNTO DE EQUILIBRIO'!$E$6:$N$6</c:f>
              <c:numCache>
                <c:formatCode>#,##0</c:formatCode>
                <c:ptCount val="10"/>
                <c:pt idx="0">
                  <c:v>1599239.607414285</c:v>
                </c:pt>
                <c:pt idx="1">
                  <c:v>1784546.3692800493</c:v>
                </c:pt>
                <c:pt idx="2">
                  <c:v>1902009.3620280642</c:v>
                </c:pt>
                <c:pt idx="3">
                  <c:v>2033412.6398107067</c:v>
                </c:pt>
                <c:pt idx="4">
                  <c:v>2174234.6555127101</c:v>
                </c:pt>
                <c:pt idx="5">
                  <c:v>2323962.0089240242</c:v>
                </c:pt>
                <c:pt idx="6">
                  <c:v>2484736.20927752</c:v>
                </c:pt>
                <c:pt idx="7">
                  <c:v>2657068.67145237</c:v>
                </c:pt>
                <c:pt idx="8">
                  <c:v>2840776.270386239</c:v>
                </c:pt>
                <c:pt idx="9">
                  <c:v>3037425.6046353104</c:v>
                </c:pt>
              </c:numCache>
            </c:numRef>
          </c:val>
        </c:ser>
        <c:ser>
          <c:idx val="1"/>
          <c:order val="1"/>
          <c:tx>
            <c:strRef>
              <c:f>'PUNTO DE EQUILIBRIO'!$D$10</c:f>
              <c:strCache>
                <c:ptCount val="1"/>
                <c:pt idx="0">
                  <c:v>GASTOS FIJOS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'PUNTO DE EQUILIBRIO'!$E$5:$N$5</c:f>
              <c:strCache>
                <c:ptCount val="10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  <c:pt idx="5">
                  <c:v>AÑO 6</c:v>
                </c:pt>
                <c:pt idx="6">
                  <c:v>AÑO 7</c:v>
                </c:pt>
                <c:pt idx="7">
                  <c:v>AÑO 8</c:v>
                </c:pt>
                <c:pt idx="8">
                  <c:v>AÑO 9</c:v>
                </c:pt>
                <c:pt idx="9">
                  <c:v>AÑO 10</c:v>
                </c:pt>
              </c:strCache>
            </c:strRef>
          </c:cat>
          <c:val>
            <c:numRef>
              <c:f>'PUNTO DE EQUILIBRIO'!$E$10:$N$10</c:f>
              <c:numCache>
                <c:formatCode>#,##0</c:formatCode>
                <c:ptCount val="10"/>
                <c:pt idx="0">
                  <c:v>1173557.9496355986</c:v>
                </c:pt>
                <c:pt idx="1">
                  <c:v>1250702.7590667494</c:v>
                </c:pt>
                <c:pt idx="2">
                  <c:v>1280598.7890859707</c:v>
                </c:pt>
                <c:pt idx="3">
                  <c:v>1315535.3410722204</c:v>
                </c:pt>
                <c:pt idx="4">
                  <c:v>1380172.0005056432</c:v>
                </c:pt>
                <c:pt idx="5">
                  <c:v>1397242.8352971002</c:v>
                </c:pt>
                <c:pt idx="6">
                  <c:v>1454582.3925580927</c:v>
                </c:pt>
                <c:pt idx="7">
                  <c:v>1501931.2731096637</c:v>
                </c:pt>
                <c:pt idx="8">
                  <c:v>1521270.7958704215</c:v>
                </c:pt>
                <c:pt idx="9">
                  <c:v>1541079.7214167586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561024"/>
        <c:axId val="114562560"/>
      </c:barChart>
      <c:lineChart>
        <c:grouping val="standard"/>
        <c:varyColors val="0"/>
        <c:ser>
          <c:idx val="2"/>
          <c:order val="2"/>
          <c:tx>
            <c:strRef>
              <c:f>'PUNTO DE EQUILIBRIO'!$D$11</c:f>
              <c:strCache>
                <c:ptCount val="1"/>
                <c:pt idx="0">
                  <c:v>PUNTO DE EQUILIBRIO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'PUNTO DE EQUILIBRIO'!$E$5:$N$5</c:f>
              <c:strCache>
                <c:ptCount val="10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  <c:pt idx="5">
                  <c:v>AÑO 6</c:v>
                </c:pt>
                <c:pt idx="6">
                  <c:v>AÑO 7</c:v>
                </c:pt>
                <c:pt idx="7">
                  <c:v>AÑO 8</c:v>
                </c:pt>
                <c:pt idx="8">
                  <c:v>AÑO 9</c:v>
                </c:pt>
                <c:pt idx="9">
                  <c:v>AÑO 10</c:v>
                </c:pt>
              </c:strCache>
            </c:strRef>
          </c:cat>
          <c:val>
            <c:numRef>
              <c:f>'PUNTO DE EQUILIBRIO'!$E$11:$N$11</c:f>
              <c:numCache>
                <c:formatCode>#,##0</c:formatCode>
                <c:ptCount val="10"/>
                <c:pt idx="0">
                  <c:v>1228416.8273559564</c:v>
                </c:pt>
                <c:pt idx="1">
                  <c:v>1308507.0242334052</c:v>
                </c:pt>
                <c:pt idx="2">
                  <c:v>1339900.9422661224</c:v>
                </c:pt>
                <c:pt idx="3">
                  <c:v>1376515.758196319</c:v>
                </c:pt>
                <c:pt idx="4">
                  <c:v>1444204.515474003</c:v>
                </c:pt>
                <c:pt idx="5">
                  <c:v>1462134.3273114858</c:v>
                </c:pt>
                <c:pt idx="6">
                  <c:v>1522194.0710591299</c:v>
                </c:pt>
                <c:pt idx="7">
                  <c:v>1571794.8749792413</c:v>
                </c:pt>
                <c:pt idx="8">
                  <c:v>1592091.4372325186</c:v>
                </c:pt>
                <c:pt idx="9">
                  <c:v>1612875.9882210421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561024"/>
        <c:axId val="114562560"/>
      </c:lineChart>
      <c:catAx>
        <c:axId val="11456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14562560"/>
        <c:crosses val="autoZero"/>
        <c:auto val="1"/>
        <c:lblAlgn val="ctr"/>
        <c:lblOffset val="100"/>
        <c:noMultiLvlLbl val="0"/>
      </c:catAx>
      <c:valAx>
        <c:axId val="114562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14561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460240</xdr:colOff>
      <xdr:row>19</xdr:row>
      <xdr:rowOff>154399</xdr:rowOff>
    </xdr:from>
    <xdr:to>
      <xdr:col>12</xdr:col>
      <xdr:colOff>106456</xdr:colOff>
      <xdr:row>42</xdr:row>
      <xdr:rowOff>185697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estadisticas.bcrp.gob.pe/estadisticas/series/diarias/resultados/P01861EMD/html" TargetMode="External"/><Relationship Id="rId7" Type="http://schemas.openxmlformats.org/officeDocument/2006/relationships/comments" Target="../comments2.xml"/><Relationship Id="rId2" Type="http://schemas.openxmlformats.org/officeDocument/2006/relationships/hyperlink" Target="http://pages.stern.nyu.edu/~adamodar/New_Home_Page/datafile/histretSP.html" TargetMode="External"/><Relationship Id="rId1" Type="http://schemas.openxmlformats.org/officeDocument/2006/relationships/hyperlink" Target="https://www.treasury.gov/resource-center/data-chart-center/interest-rates/Pages/TextView.aspx?data=yieldYear&amp;year=2016" TargetMode="External"/><Relationship Id="rId6" Type="http://schemas.openxmlformats.org/officeDocument/2006/relationships/vmlDrawing" Target="../drawings/vmlDrawing2.vml"/><Relationship Id="rId5" Type="http://schemas.openxmlformats.org/officeDocument/2006/relationships/hyperlink" Target="http://www.healthinquiry.net/Public%20Submissions/Netcare%20Ex%20GH-75%20Ibbotson.pdf" TargetMode="External"/><Relationship Id="rId4" Type="http://schemas.openxmlformats.org/officeDocument/2006/relationships/hyperlink" Target="http://pages.stern.nyu.edu/~adamodar/New_Home_Page/datafile/Betas.html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estadisticas.bcrp.gob.pe/estadisticas/series/diarias/resultados/P01861EMD/html" TargetMode="External"/><Relationship Id="rId2" Type="http://schemas.openxmlformats.org/officeDocument/2006/relationships/hyperlink" Target="http://pages.stern.nyu.edu/~adamodar/New_Home_Page/datafile/histretSP.html" TargetMode="External"/><Relationship Id="rId1" Type="http://schemas.openxmlformats.org/officeDocument/2006/relationships/hyperlink" Target="https://www.treasury.gov/resource-center/data-chart-center/interest-rates/Pages/TextView.aspx?data=yieldYear&amp;year=2016" TargetMode="External"/><Relationship Id="rId5" Type="http://schemas.openxmlformats.org/officeDocument/2006/relationships/hyperlink" Target="http://www.healthinquiry.net/Public%20Submissions/Netcare%20Ex%20GH-75%20Ibbotson.pdf" TargetMode="External"/><Relationship Id="rId4" Type="http://schemas.openxmlformats.org/officeDocument/2006/relationships/hyperlink" Target="http://pages.stern.nyu.edu/~adamodar/New_Home_Page/datafile/Betas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41"/>
  <sheetViews>
    <sheetView showGridLines="0" topLeftCell="A13" zoomScale="70" zoomScaleNormal="70" workbookViewId="0">
      <selection activeCell="H23" sqref="H23"/>
    </sheetView>
  </sheetViews>
  <sheetFormatPr baseColWidth="10" defaultColWidth="11" defaultRowHeight="12.75" x14ac:dyDescent="0.25"/>
  <cols>
    <col min="1" max="1" width="30.85546875" style="673" customWidth="1"/>
    <col min="2" max="2" width="18.28515625" style="673" customWidth="1"/>
    <col min="3" max="3" width="21.140625" style="673" customWidth="1"/>
    <col min="4" max="4" width="12.7109375" style="673" customWidth="1"/>
    <col min="5" max="6" width="16.28515625" style="673" customWidth="1"/>
    <col min="7" max="7" width="14.7109375" style="673" customWidth="1"/>
    <col min="8" max="8" width="11" style="673"/>
    <col min="9" max="9" width="33.140625" style="673" customWidth="1"/>
    <col min="10" max="10" width="15.28515625" style="673" customWidth="1"/>
    <col min="11" max="11" width="11" style="673"/>
    <col min="12" max="12" width="16.42578125" style="673" customWidth="1"/>
    <col min="13" max="16384" width="11" style="673"/>
  </cols>
  <sheetData>
    <row r="2" spans="1:8" x14ac:dyDescent="0.25">
      <c r="A2" s="696" t="s">
        <v>624</v>
      </c>
      <c r="B2" s="696"/>
      <c r="C2" s="696"/>
      <c r="D2" s="696"/>
      <c r="E2" s="696"/>
      <c r="F2" s="696"/>
      <c r="G2" s="696"/>
      <c r="H2" s="696"/>
    </row>
    <row r="3" spans="1:8" x14ac:dyDescent="0.25">
      <c r="A3" s="705"/>
      <c r="B3" s="706"/>
      <c r="C3" s="706"/>
      <c r="D3" s="707"/>
      <c r="E3" s="697" t="s">
        <v>700</v>
      </c>
      <c r="F3" s="697"/>
      <c r="G3" s="697"/>
      <c r="H3" s="697"/>
    </row>
    <row r="4" spans="1:8" ht="25.5" x14ac:dyDescent="0.25">
      <c r="A4" s="672"/>
      <c r="B4" s="672"/>
      <c r="C4" s="671" t="s">
        <v>699</v>
      </c>
      <c r="D4" s="671" t="s">
        <v>698</v>
      </c>
      <c r="E4" s="671" t="s">
        <v>627</v>
      </c>
      <c r="F4" s="671" t="s">
        <v>693</v>
      </c>
      <c r="G4" s="671" t="s">
        <v>628</v>
      </c>
      <c r="H4" s="671" t="s">
        <v>693</v>
      </c>
    </row>
    <row r="5" spans="1:8" x14ac:dyDescent="0.25">
      <c r="A5" s="698" t="s">
        <v>650</v>
      </c>
      <c r="B5" s="674" t="s">
        <v>263</v>
      </c>
      <c r="C5" s="674">
        <v>2275</v>
      </c>
      <c r="D5" s="674">
        <f>C5/(48*4)</f>
        <v>11.848958333333334</v>
      </c>
      <c r="E5" s="674">
        <f>(D5*36)/12</f>
        <v>35.546875</v>
      </c>
      <c r="F5" s="675">
        <f t="shared" ref="F5:F15" si="0">E5/$C$38</f>
        <v>3.4983580066722267E-2</v>
      </c>
      <c r="G5" s="674">
        <f>(D5*72)/12</f>
        <v>71.09375</v>
      </c>
      <c r="H5" s="675">
        <f t="shared" ref="H5:H15" si="1">G5/$E$38</f>
        <v>3.8166799363057322E-2</v>
      </c>
    </row>
    <row r="6" spans="1:8" x14ac:dyDescent="0.25">
      <c r="A6" s="699"/>
      <c r="B6" s="674" t="s">
        <v>262</v>
      </c>
      <c r="C6" s="674">
        <v>4423</v>
      </c>
      <c r="D6" s="674">
        <f>C6/(48*4)</f>
        <v>23.036458333333332</v>
      </c>
      <c r="E6" s="674">
        <f>(D6*36)/12</f>
        <v>69.109375</v>
      </c>
      <c r="F6" s="675">
        <f t="shared" si="0"/>
        <v>6.8014230608840695E-2</v>
      </c>
      <c r="G6" s="674">
        <f>(D6*72)/12</f>
        <v>138.21875</v>
      </c>
      <c r="H6" s="675">
        <f t="shared" si="1"/>
        <v>7.4202968607825284E-2</v>
      </c>
    </row>
    <row r="7" spans="1:8" x14ac:dyDescent="0.25">
      <c r="A7" s="699"/>
      <c r="B7" s="674" t="s">
        <v>697</v>
      </c>
      <c r="C7" s="674">
        <v>2602</v>
      </c>
      <c r="D7" s="674">
        <f>((C7)/(20*4))/2</f>
        <v>16.262499999999999</v>
      </c>
      <c r="E7" s="674">
        <f>D7</f>
        <v>16.262499999999999</v>
      </c>
      <c r="F7" s="675">
        <f t="shared" si="0"/>
        <v>1.6004795663052542E-2</v>
      </c>
      <c r="G7" s="674">
        <f>D7</f>
        <v>16.262499999999999</v>
      </c>
      <c r="H7" s="675">
        <f t="shared" si="1"/>
        <v>8.7305505004549588E-3</v>
      </c>
    </row>
    <row r="8" spans="1:8" x14ac:dyDescent="0.25">
      <c r="A8" s="699"/>
      <c r="B8" s="674" t="s">
        <v>266</v>
      </c>
      <c r="C8" s="674">
        <v>2724</v>
      </c>
      <c r="D8" s="674">
        <f>((C8)/(48*4))/3</f>
        <v>4.729166666666667</v>
      </c>
      <c r="E8" s="674">
        <f>D8*6</f>
        <v>28.375</v>
      </c>
      <c r="F8" s="675">
        <f t="shared" si="0"/>
        <v>2.7925354462051709E-2</v>
      </c>
      <c r="G8" s="674">
        <f>D8*12</f>
        <v>56.75</v>
      </c>
      <c r="H8" s="675">
        <f t="shared" si="1"/>
        <v>3.0466333030027295E-2</v>
      </c>
    </row>
    <row r="9" spans="1:8" x14ac:dyDescent="0.25">
      <c r="A9" s="699"/>
      <c r="B9" s="674" t="s">
        <v>164</v>
      </c>
      <c r="C9" s="674">
        <v>1561</v>
      </c>
      <c r="D9" s="674">
        <f>((C9)/(20*4))*0.67</f>
        <v>13.073375</v>
      </c>
      <c r="E9" s="674">
        <f>D9</f>
        <v>13.073375</v>
      </c>
      <c r="F9" s="675">
        <f t="shared" si="0"/>
        <v>1.2866207256046706E-2</v>
      </c>
      <c r="G9" s="674">
        <f>D9</f>
        <v>13.073375</v>
      </c>
      <c r="H9" s="675">
        <f t="shared" si="1"/>
        <v>7.018463375796178E-3</v>
      </c>
    </row>
    <row r="10" spans="1:8" x14ac:dyDescent="0.25">
      <c r="A10" s="700"/>
      <c r="B10" s="712" t="s">
        <v>273</v>
      </c>
      <c r="C10" s="713"/>
      <c r="D10" s="672">
        <f>SUM(D5:D9)</f>
        <v>68.95045833333333</v>
      </c>
      <c r="E10" s="671">
        <f>SUM(E5:E9)</f>
        <v>162.36712499999999</v>
      </c>
      <c r="F10" s="693">
        <f t="shared" si="0"/>
        <v>0.15979416805671393</v>
      </c>
      <c r="G10" s="671">
        <f>SUM(G5:G9)</f>
        <v>295.39837499999999</v>
      </c>
      <c r="H10" s="693">
        <f t="shared" si="1"/>
        <v>0.15858511487716104</v>
      </c>
    </row>
    <row r="11" spans="1:8" ht="25.5" x14ac:dyDescent="0.25">
      <c r="A11" s="701" t="s">
        <v>651</v>
      </c>
      <c r="B11" s="674" t="s">
        <v>656</v>
      </c>
      <c r="C11" s="674">
        <v>35</v>
      </c>
      <c r="D11" s="674">
        <f>((C11*45)/60)/16</f>
        <v>1.640625</v>
      </c>
      <c r="E11" s="674">
        <f>(D11*36)/12</f>
        <v>4.921875</v>
      </c>
      <c r="F11" s="675">
        <f t="shared" si="0"/>
        <v>4.843880316930776E-3</v>
      </c>
      <c r="G11" s="674">
        <f>(D11*72)/12</f>
        <v>9.84375</v>
      </c>
      <c r="H11" s="675">
        <f t="shared" si="1"/>
        <v>5.2846337579617831E-3</v>
      </c>
    </row>
    <row r="12" spans="1:8" x14ac:dyDescent="0.25">
      <c r="A12" s="702"/>
      <c r="B12" s="712" t="s">
        <v>273</v>
      </c>
      <c r="C12" s="713"/>
      <c r="D12" s="672"/>
      <c r="E12" s="671">
        <f>SUM(E11)</f>
        <v>4.921875</v>
      </c>
      <c r="F12" s="694">
        <f t="shared" si="0"/>
        <v>4.843880316930776E-3</v>
      </c>
      <c r="G12" s="671">
        <f>SUM(G11)</f>
        <v>9.84375</v>
      </c>
      <c r="H12" s="694">
        <f t="shared" si="1"/>
        <v>5.2846337579617831E-3</v>
      </c>
    </row>
    <row r="13" spans="1:8" x14ac:dyDescent="0.25">
      <c r="A13" s="701" t="s">
        <v>652</v>
      </c>
      <c r="B13" s="674" t="s">
        <v>657</v>
      </c>
      <c r="C13" s="674"/>
      <c r="D13" s="676">
        <v>3.29</v>
      </c>
      <c r="E13" s="674">
        <f>(D13*36)/12</f>
        <v>9.8699999999999992</v>
      </c>
      <c r="F13" s="675">
        <f t="shared" si="0"/>
        <v>9.7135946622185151E-3</v>
      </c>
      <c r="G13" s="674">
        <f>(D13*72)/12</f>
        <v>19.739999999999998</v>
      </c>
      <c r="H13" s="675">
        <f t="shared" si="1"/>
        <v>1.0597452229299361E-2</v>
      </c>
    </row>
    <row r="14" spans="1:8" x14ac:dyDescent="0.25">
      <c r="A14" s="711"/>
      <c r="B14" s="712" t="s">
        <v>273</v>
      </c>
      <c r="C14" s="713"/>
      <c r="D14" s="677"/>
      <c r="E14" s="671">
        <f>SUM(E13)</f>
        <v>9.8699999999999992</v>
      </c>
      <c r="F14" s="675">
        <f t="shared" si="0"/>
        <v>9.7135946622185151E-3</v>
      </c>
      <c r="G14" s="671">
        <f>G13</f>
        <v>19.739999999999998</v>
      </c>
      <c r="H14" s="675">
        <f t="shared" si="1"/>
        <v>1.0597452229299361E-2</v>
      </c>
    </row>
    <row r="15" spans="1:8" x14ac:dyDescent="0.25">
      <c r="A15" s="702"/>
      <c r="B15" s="703"/>
      <c r="C15" s="704"/>
      <c r="D15" s="672"/>
      <c r="E15" s="671">
        <f>SUM(E10+E12+E14)</f>
        <v>177.15899999999999</v>
      </c>
      <c r="F15" s="693">
        <f t="shared" si="0"/>
        <v>0.1743516430358632</v>
      </c>
      <c r="G15" s="671">
        <f>SUM(G10+G12+G14)</f>
        <v>324.982125</v>
      </c>
      <c r="H15" s="693">
        <f t="shared" si="1"/>
        <v>0.17446720086442219</v>
      </c>
    </row>
    <row r="17" spans="1:13" x14ac:dyDescent="0.25">
      <c r="A17" s="708" t="s">
        <v>625</v>
      </c>
      <c r="B17" s="709"/>
      <c r="C17" s="709"/>
      <c r="D17" s="709"/>
      <c r="E17" s="709"/>
      <c r="F17" s="710"/>
      <c r="I17" s="696" t="s">
        <v>696</v>
      </c>
      <c r="J17" s="696"/>
      <c r="K17" s="696"/>
      <c r="L17" s="696"/>
      <c r="M17" s="696"/>
    </row>
    <row r="18" spans="1:13" x14ac:dyDescent="0.25">
      <c r="A18" s="688"/>
      <c r="B18" s="671" t="s">
        <v>626</v>
      </c>
      <c r="C18" s="671" t="s">
        <v>627</v>
      </c>
      <c r="D18" s="671" t="s">
        <v>693</v>
      </c>
      <c r="E18" s="671" t="s">
        <v>628</v>
      </c>
      <c r="F18" s="689" t="s">
        <v>693</v>
      </c>
      <c r="I18" s="672"/>
      <c r="J18" s="671" t="s">
        <v>627</v>
      </c>
      <c r="K18" s="671" t="s">
        <v>693</v>
      </c>
      <c r="L18" s="671" t="s">
        <v>628</v>
      </c>
      <c r="M18" s="671" t="s">
        <v>693</v>
      </c>
    </row>
    <row r="19" spans="1:13" x14ac:dyDescent="0.25">
      <c r="A19" s="672" t="s">
        <v>629</v>
      </c>
      <c r="B19" s="26">
        <v>406196</v>
      </c>
      <c r="C19" s="678">
        <f>(B19/($C$30+$E$30*2))*$C$30</f>
        <v>278004.8669201521</v>
      </c>
      <c r="D19" s="681">
        <f>C19/$C$28</f>
        <v>0.5014772207888375</v>
      </c>
      <c r="E19" s="678">
        <f>(B19/($C$30+$E$30*2))*$E$30*2</f>
        <v>128191.13307984792</v>
      </c>
      <c r="F19" s="681">
        <f>E19/$E$28</f>
        <v>0.46360878714970388</v>
      </c>
      <c r="G19" s="679"/>
      <c r="I19" s="672" t="s">
        <v>629</v>
      </c>
      <c r="J19" s="680">
        <f t="shared" ref="J19:J27" si="2">C19/$C$30</f>
        <v>257.41191381495565</v>
      </c>
      <c r="K19" s="681">
        <f t="shared" ref="K19:K28" si="3">J19/$C$38</f>
        <v>0.25333282593965611</v>
      </c>
      <c r="L19" s="680">
        <f t="shared" ref="L19:L27" si="4">E19/$E$30</f>
        <v>514.82382762991131</v>
      </c>
      <c r="M19" s="681">
        <f t="shared" ref="M19:M28" si="5">L19/$E$38</f>
        <v>0.27638403849103516</v>
      </c>
    </row>
    <row r="20" spans="1:13" x14ac:dyDescent="0.25">
      <c r="A20" s="672" t="s">
        <v>7</v>
      </c>
      <c r="B20" s="26">
        <v>32786</v>
      </c>
      <c r="C20" s="678">
        <f>(B20/($C$30+$E$30*2))*$C$30</f>
        <v>22439.087452471482</v>
      </c>
      <c r="D20" s="681">
        <f t="shared" ref="D20:D27" si="6">C20/$C$28</f>
        <v>4.0476597900478646E-2</v>
      </c>
      <c r="E20" s="678">
        <f>(B20/($C$30+$E$30*2))*$E$30*2</f>
        <v>10346.912547528516</v>
      </c>
      <c r="F20" s="681">
        <f t="shared" ref="F20:F28" si="7">E20/$E$28</f>
        <v>3.7420057547317524E-2</v>
      </c>
      <c r="G20" s="679"/>
      <c r="I20" s="672" t="s">
        <v>7</v>
      </c>
      <c r="J20" s="680">
        <f t="shared" si="2"/>
        <v>20.776932826362483</v>
      </c>
      <c r="K20" s="681">
        <f t="shared" si="3"/>
        <v>2.0447690354551899E-2</v>
      </c>
      <c r="L20" s="680">
        <f t="shared" si="4"/>
        <v>41.553865652724966</v>
      </c>
      <c r="M20" s="681">
        <f t="shared" si="5"/>
        <v>2.2308262725302754E-2</v>
      </c>
    </row>
    <row r="21" spans="1:13" ht="38.25" x14ac:dyDescent="0.25">
      <c r="A21" s="672" t="s">
        <v>695</v>
      </c>
      <c r="B21" s="682">
        <v>214883</v>
      </c>
      <c r="C21" s="678">
        <f>(B21/($C$30+$E$30*2))*$C$30</f>
        <v>147068.21292775663</v>
      </c>
      <c r="D21" s="681">
        <f t="shared" si="6"/>
        <v>0.26528801276912561</v>
      </c>
      <c r="E21" s="678">
        <f>(B21/($C$30+$E$30*2))*$E$30*2</f>
        <v>67814.787072243344</v>
      </c>
      <c r="F21" s="681">
        <f t="shared" si="7"/>
        <v>0.24525511577930312</v>
      </c>
      <c r="G21" s="679"/>
      <c r="I21" s="672" t="s">
        <v>695</v>
      </c>
      <c r="J21" s="680">
        <f t="shared" si="2"/>
        <v>136.1742712294043</v>
      </c>
      <c r="K21" s="681">
        <f t="shared" si="3"/>
        <v>0.13401638035921357</v>
      </c>
      <c r="L21" s="680">
        <f t="shared" si="4"/>
        <v>272.34854245880859</v>
      </c>
      <c r="M21" s="681">
        <f t="shared" si="5"/>
        <v>0.14621077347652145</v>
      </c>
    </row>
    <row r="22" spans="1:13" x14ac:dyDescent="0.25">
      <c r="A22" s="672" t="s">
        <v>34</v>
      </c>
      <c r="B22" s="26">
        <v>117000</v>
      </c>
      <c r="C22" s="678">
        <f>(B22/($C$30+$E$30*2))*$C$30</f>
        <v>80076.045627376428</v>
      </c>
      <c r="D22" s="681">
        <f t="shared" si="6"/>
        <v>0.14444463961312762</v>
      </c>
      <c r="E22" s="678">
        <f>(B22/($C$30+$E$30*2))*$E$30*2</f>
        <v>36923.954372623572</v>
      </c>
      <c r="F22" s="681">
        <f t="shared" si="7"/>
        <v>0.13353708085878577</v>
      </c>
      <c r="G22" s="679"/>
      <c r="I22" s="672" t="s">
        <v>34</v>
      </c>
      <c r="J22" s="680">
        <f t="shared" si="2"/>
        <v>74.144486692015207</v>
      </c>
      <c r="K22" s="681">
        <f t="shared" si="3"/>
        <v>7.2969553208155083E-2</v>
      </c>
      <c r="L22" s="680">
        <f t="shared" si="4"/>
        <v>148.28897338403041</v>
      </c>
      <c r="M22" s="681">
        <f t="shared" si="5"/>
        <v>7.9609184983237435E-2</v>
      </c>
    </row>
    <row r="23" spans="1:13" x14ac:dyDescent="0.25">
      <c r="A23" s="672" t="s">
        <v>419</v>
      </c>
      <c r="B23" s="683">
        <v>36720</v>
      </c>
      <c r="C23" s="678">
        <v>10841</v>
      </c>
      <c r="D23" s="681">
        <f t="shared" si="6"/>
        <v>1.9555465380155557E-2</v>
      </c>
      <c r="E23" s="678">
        <f>(B23-C23)</f>
        <v>25879</v>
      </c>
      <c r="F23" s="681">
        <f t="shared" si="7"/>
        <v>9.3592524805705693E-2</v>
      </c>
      <c r="G23" s="679"/>
      <c r="I23" s="672" t="s">
        <v>419</v>
      </c>
      <c r="J23" s="680">
        <f t="shared" si="2"/>
        <v>10.037962962962963</v>
      </c>
      <c r="K23" s="681">
        <f t="shared" si="3"/>
        <v>9.8788959935748929E-3</v>
      </c>
      <c r="L23" s="680">
        <f t="shared" si="4"/>
        <v>103.93172690763052</v>
      </c>
      <c r="M23" s="681">
        <f t="shared" si="5"/>
        <v>5.5795922543677892E-2</v>
      </c>
    </row>
    <row r="24" spans="1:13" x14ac:dyDescent="0.25">
      <c r="A24" s="672" t="s">
        <v>636</v>
      </c>
      <c r="B24" s="674">
        <v>3200</v>
      </c>
      <c r="C24" s="678">
        <f>(B24/($C$30+$E$30*2))*$C$30</f>
        <v>2190.1140684410648</v>
      </c>
      <c r="D24" s="681">
        <f t="shared" si="6"/>
        <v>3.9506226218975074E-3</v>
      </c>
      <c r="E24" s="678">
        <f>(B24/($C$30+$E$30*2))*$E$30*2</f>
        <v>1009.8859315589355</v>
      </c>
      <c r="F24" s="681">
        <f t="shared" si="7"/>
        <v>3.6522962286163634E-3</v>
      </c>
      <c r="G24" s="679"/>
      <c r="I24" s="672" t="s">
        <v>636</v>
      </c>
      <c r="J24" s="680">
        <f t="shared" si="2"/>
        <v>2.0278833967046896</v>
      </c>
      <c r="K24" s="681">
        <f t="shared" si="3"/>
        <v>1.9957484638127888E-3</v>
      </c>
      <c r="L24" s="680">
        <f t="shared" si="4"/>
        <v>4.0557667934093793</v>
      </c>
      <c r="M24" s="681">
        <f t="shared" si="5"/>
        <v>2.1773452303107677E-3</v>
      </c>
    </row>
    <row r="25" spans="1:13" x14ac:dyDescent="0.25">
      <c r="A25" s="672" t="s">
        <v>637</v>
      </c>
      <c r="B25" s="674">
        <v>5531</v>
      </c>
      <c r="C25" s="678">
        <f>(B25/($C$30+$E$30*2))*$C$30</f>
        <v>3785.4752851711028</v>
      </c>
      <c r="D25" s="681">
        <f t="shared" si="6"/>
        <v>6.8284042880359733E-3</v>
      </c>
      <c r="E25" s="678">
        <f>(B25/($C$30+$E$30*2))*$E$30*2</f>
        <v>1745.5247148288975</v>
      </c>
      <c r="F25" s="681">
        <f t="shared" si="7"/>
        <v>6.3127657626490955E-3</v>
      </c>
      <c r="G25" s="679"/>
      <c r="I25" s="672" t="s">
        <v>637</v>
      </c>
      <c r="J25" s="680">
        <f t="shared" si="2"/>
        <v>3.5050697084917619</v>
      </c>
      <c r="K25" s="681">
        <f t="shared" si="3"/>
        <v>3.4495264854214171E-3</v>
      </c>
      <c r="L25" s="680">
        <f t="shared" si="4"/>
        <v>7.0101394169835238</v>
      </c>
      <c r="M25" s="681">
        <f t="shared" si="5"/>
        <v>3.7634051465152674E-3</v>
      </c>
    </row>
    <row r="26" spans="1:13" x14ac:dyDescent="0.25">
      <c r="A26" s="672" t="s">
        <v>638</v>
      </c>
      <c r="B26" s="674">
        <v>8341</v>
      </c>
      <c r="C26" s="678">
        <f>(B26/($C$30+$E$30*2))*$C$30</f>
        <v>5708.6692015209128</v>
      </c>
      <c r="D26" s="681">
        <f t="shared" si="6"/>
        <v>1.0297544777889722E-2</v>
      </c>
      <c r="E26" s="678">
        <f>(B26/($C$30+$E$30*2))*$E$30*2</f>
        <v>2632.3307984790877</v>
      </c>
      <c r="F26" s="681">
        <f t="shared" si="7"/>
        <v>9.5199383884028398E-3</v>
      </c>
      <c r="G26" s="679"/>
      <c r="I26" s="672" t="s">
        <v>638</v>
      </c>
      <c r="J26" s="680">
        <f t="shared" si="2"/>
        <v>5.2858048162230675</v>
      </c>
      <c r="K26" s="681">
        <f t="shared" si="3"/>
        <v>5.2020431052070219E-3</v>
      </c>
      <c r="L26" s="680">
        <f t="shared" si="4"/>
        <v>10.571609632446135</v>
      </c>
      <c r="M26" s="681">
        <f t="shared" si="5"/>
        <v>5.6753864268819102E-3</v>
      </c>
    </row>
    <row r="27" spans="1:13" x14ac:dyDescent="0.25">
      <c r="A27" s="672" t="s">
        <v>35</v>
      </c>
      <c r="B27" s="674">
        <v>6222</v>
      </c>
      <c r="C27" s="678">
        <f>(B27/($C$30+$E$30*2))*$C$30</f>
        <v>4258.403041825095</v>
      </c>
      <c r="D27" s="681">
        <f t="shared" si="6"/>
        <v>7.6814918604519661E-3</v>
      </c>
      <c r="E27" s="678">
        <f>(B27/($C$30+$E$30*2))*$E$30*2</f>
        <v>1963.596958174905</v>
      </c>
      <c r="F27" s="681">
        <f t="shared" si="7"/>
        <v>7.1014334795159416E-3</v>
      </c>
      <c r="G27" s="679"/>
      <c r="I27" s="672" t="s">
        <v>35</v>
      </c>
      <c r="J27" s="680">
        <f t="shared" si="2"/>
        <v>3.9429657794676807</v>
      </c>
      <c r="K27" s="681">
        <f t="shared" si="3"/>
        <v>3.8804834193259907E-3</v>
      </c>
      <c r="L27" s="680">
        <f t="shared" si="4"/>
        <v>7.8859315589353614</v>
      </c>
      <c r="M27" s="681">
        <f t="shared" si="5"/>
        <v>4.2335756321854982E-3</v>
      </c>
    </row>
    <row r="28" spans="1:13" x14ac:dyDescent="0.25">
      <c r="A28" s="671" t="s">
        <v>114</v>
      </c>
      <c r="B28" s="671">
        <f>SUM(B19:B27)</f>
        <v>830879</v>
      </c>
      <c r="C28" s="671">
        <f>SUM(C19:C27)</f>
        <v>554371.87452471477</v>
      </c>
      <c r="D28" s="687">
        <f>C28/$C$28</f>
        <v>1</v>
      </c>
      <c r="E28" s="671">
        <f>SUM(E19:E27)</f>
        <v>276507.12547528511</v>
      </c>
      <c r="F28" s="687">
        <f t="shared" si="7"/>
        <v>1</v>
      </c>
      <c r="G28" s="679"/>
      <c r="I28" s="671" t="s">
        <v>114</v>
      </c>
      <c r="J28" s="690">
        <f>SUM(J19:J27)</f>
        <v>513.30729122658784</v>
      </c>
      <c r="K28" s="687">
        <f t="shared" si="3"/>
        <v>0.50517314732891883</v>
      </c>
      <c r="L28" s="690">
        <f>SUM(L19:L27)</f>
        <v>1110.4703834348804</v>
      </c>
      <c r="M28" s="687">
        <f t="shared" si="5"/>
        <v>0.59615789465566826</v>
      </c>
    </row>
    <row r="30" spans="1:13" x14ac:dyDescent="0.25">
      <c r="A30" s="671" t="s">
        <v>694</v>
      </c>
      <c r="B30" s="672"/>
      <c r="C30" s="674">
        <v>1080</v>
      </c>
      <c r="D30" s="695"/>
      <c r="E30" s="674">
        <v>249</v>
      </c>
    </row>
    <row r="31" spans="1:13" x14ac:dyDescent="0.25">
      <c r="A31" s="684"/>
      <c r="B31" s="684"/>
      <c r="C31" s="684"/>
    </row>
    <row r="32" spans="1:13" x14ac:dyDescent="0.25">
      <c r="B32" s="685"/>
      <c r="C32" s="685" t="s">
        <v>627</v>
      </c>
      <c r="D32" s="685" t="s">
        <v>693</v>
      </c>
      <c r="E32" s="685" t="s">
        <v>628</v>
      </c>
      <c r="F32" s="685" t="s">
        <v>693</v>
      </c>
    </row>
    <row r="33" spans="2:6" x14ac:dyDescent="0.25">
      <c r="B33" s="671" t="s">
        <v>692</v>
      </c>
      <c r="C33" s="674">
        <f>E15</f>
        <v>177.15899999999999</v>
      </c>
      <c r="D33" s="687">
        <f>C33/$C$38</f>
        <v>0.1743516430358632</v>
      </c>
      <c r="E33" s="674">
        <f>$G$15</f>
        <v>324.982125</v>
      </c>
      <c r="F33" s="687">
        <f>E33/$E$38</f>
        <v>0.17446720086442219</v>
      </c>
    </row>
    <row r="34" spans="2:6" x14ac:dyDescent="0.25">
      <c r="B34" s="671" t="s">
        <v>691</v>
      </c>
      <c r="C34" s="674">
        <f>$C$28/$C$30</f>
        <v>513.30729122658772</v>
      </c>
      <c r="D34" s="687">
        <f>C34/$C$38</f>
        <v>0.50517314732891871</v>
      </c>
      <c r="E34" s="674">
        <f>$E$28/E30</f>
        <v>1110.47038343488</v>
      </c>
      <c r="F34" s="687">
        <f>E34/$E$38</f>
        <v>0.59615789465566804</v>
      </c>
    </row>
    <row r="35" spans="2:6" x14ac:dyDescent="0.25">
      <c r="B35" s="671" t="s">
        <v>114</v>
      </c>
      <c r="C35" s="671">
        <f>SUM(C33:C34)</f>
        <v>690.46629122658771</v>
      </c>
      <c r="D35" s="687">
        <f>C35/$C$38</f>
        <v>0.67952479036478186</v>
      </c>
      <c r="E35" s="671">
        <f>SUM(E33:E34)</f>
        <v>1435.45250843488</v>
      </c>
      <c r="F35" s="687">
        <f>E35/$E$38</f>
        <v>0.77062509552009018</v>
      </c>
    </row>
    <row r="36" spans="2:6" x14ac:dyDescent="0.25">
      <c r="B36" s="686"/>
      <c r="C36" s="684"/>
      <c r="D36" s="691"/>
      <c r="E36" s="684"/>
      <c r="F36" s="691"/>
    </row>
    <row r="37" spans="2:6" x14ac:dyDescent="0.25">
      <c r="B37" s="671" t="s">
        <v>630</v>
      </c>
      <c r="C37" s="678">
        <f>C38-C35</f>
        <v>325.63540368866654</v>
      </c>
      <c r="D37" s="693">
        <f>C37/$C$38</f>
        <v>0.32047520963521808</v>
      </c>
      <c r="E37" s="678">
        <f>E38-E35</f>
        <v>427.25935597189982</v>
      </c>
      <c r="F37" s="693">
        <f>E37/$E$38</f>
        <v>0.2293749044799098</v>
      </c>
    </row>
    <row r="38" spans="2:6" x14ac:dyDescent="0.25">
      <c r="B38" s="671" t="s">
        <v>114</v>
      </c>
      <c r="C38" s="671">
        <f>$C$41</f>
        <v>1016.1016949152543</v>
      </c>
      <c r="D38" s="687">
        <v>1</v>
      </c>
      <c r="E38" s="671">
        <f>$E$41</f>
        <v>1862.7118644067798</v>
      </c>
      <c r="F38" s="692">
        <v>1</v>
      </c>
    </row>
    <row r="39" spans="2:6" x14ac:dyDescent="0.25">
      <c r="B39" s="684"/>
      <c r="C39" s="684"/>
      <c r="E39" s="684"/>
    </row>
    <row r="40" spans="2:6" x14ac:dyDescent="0.25">
      <c r="B40" s="671" t="s">
        <v>145</v>
      </c>
      <c r="C40" s="674">
        <v>1199</v>
      </c>
      <c r="E40" s="674">
        <f>C40*2-200</f>
        <v>2198</v>
      </c>
    </row>
    <row r="41" spans="2:6" x14ac:dyDescent="0.25">
      <c r="B41" s="671" t="s">
        <v>133</v>
      </c>
      <c r="C41" s="671">
        <f>$C$40/1.18</f>
        <v>1016.1016949152543</v>
      </c>
      <c r="E41" s="671">
        <f>$E$40/1.18</f>
        <v>1862.7118644067798</v>
      </c>
    </row>
  </sheetData>
  <mergeCells count="12">
    <mergeCell ref="A2:H2"/>
    <mergeCell ref="E3:H3"/>
    <mergeCell ref="A5:A10"/>
    <mergeCell ref="A11:A12"/>
    <mergeCell ref="I17:M17"/>
    <mergeCell ref="B15:C15"/>
    <mergeCell ref="A3:D3"/>
    <mergeCell ref="A17:F17"/>
    <mergeCell ref="A13:A15"/>
    <mergeCell ref="B10:C10"/>
    <mergeCell ref="B12:C12"/>
    <mergeCell ref="B14:C14"/>
  </mergeCells>
  <pageMargins left="0.7" right="0.7" top="0.75" bottom="0.75" header="0.3" footer="0.3"/>
  <pageSetup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DV71"/>
  <sheetViews>
    <sheetView topLeftCell="D4" zoomScale="70" zoomScaleNormal="70" workbookViewId="0">
      <selection activeCell="H49" sqref="H49"/>
    </sheetView>
  </sheetViews>
  <sheetFormatPr baseColWidth="10" defaultColWidth="11" defaultRowHeight="12.75" x14ac:dyDescent="0.25"/>
  <cols>
    <col min="1" max="2" width="11" style="312"/>
    <col min="3" max="3" width="13.140625" style="312" customWidth="1"/>
    <col min="4" max="4" width="32.28515625" style="312" customWidth="1"/>
    <col min="5" max="5" width="16.42578125" style="312" customWidth="1"/>
    <col min="6" max="6" width="15.42578125" style="312" customWidth="1"/>
    <col min="7" max="9" width="16.5703125" style="312" customWidth="1"/>
    <col min="10" max="10" width="19.42578125" style="312" customWidth="1"/>
    <col min="11" max="11" width="19" style="312" customWidth="1"/>
    <col min="12" max="16" width="12.5703125" style="312" customWidth="1"/>
    <col min="17" max="17" width="12" style="312" customWidth="1"/>
    <col min="18" max="18" width="12.7109375" style="312" customWidth="1"/>
    <col min="19" max="19" width="12.85546875" style="312" customWidth="1"/>
    <col min="20" max="20" width="12.140625" style="312" customWidth="1"/>
    <col min="21" max="21" width="14.140625" style="312" customWidth="1"/>
    <col min="22" max="22" width="12.7109375" style="312" customWidth="1"/>
    <col min="23" max="23" width="12" style="312" customWidth="1"/>
    <col min="24" max="24" width="12.85546875" style="312" customWidth="1"/>
    <col min="25" max="25" width="13.5703125" style="312" customWidth="1"/>
    <col min="26" max="26" width="14.140625" style="312" customWidth="1"/>
    <col min="27" max="27" width="12.7109375" style="312" customWidth="1"/>
    <col min="28" max="28" width="13.5703125" style="312" customWidth="1"/>
    <col min="29" max="29" width="12.28515625" style="312" customWidth="1"/>
    <col min="30" max="16384" width="11" style="312"/>
  </cols>
  <sheetData>
    <row r="2" spans="3:125" ht="11.25" customHeight="1" x14ac:dyDescent="0.25">
      <c r="D2" s="336" t="s">
        <v>76</v>
      </c>
      <c r="E2" s="576"/>
      <c r="G2" s="577"/>
      <c r="H2" s="578"/>
      <c r="I2" s="578"/>
      <c r="J2" s="578"/>
      <c r="K2" s="578"/>
      <c r="L2" s="578"/>
      <c r="M2" s="578"/>
      <c r="N2" s="578"/>
      <c r="O2" s="578"/>
      <c r="P2" s="578"/>
      <c r="Q2" s="578"/>
    </row>
    <row r="4" spans="3:125" s="579" customFormat="1" x14ac:dyDescent="0.25">
      <c r="D4" s="370"/>
      <c r="E4" s="370"/>
      <c r="F4" s="580" t="s">
        <v>77</v>
      </c>
      <c r="G4" s="581"/>
      <c r="H4" s="581"/>
      <c r="I4" s="581"/>
      <c r="J4" s="581"/>
      <c r="K4" s="581"/>
      <c r="L4" s="581"/>
      <c r="M4" s="582" t="s">
        <v>78</v>
      </c>
      <c r="N4" s="583">
        <v>1133</v>
      </c>
      <c r="O4" s="583"/>
      <c r="P4" s="582"/>
      <c r="Q4" s="584"/>
      <c r="R4" s="580" t="s">
        <v>79</v>
      </c>
      <c r="S4" s="585"/>
      <c r="T4" s="585"/>
      <c r="U4" s="585"/>
      <c r="V4" s="581"/>
      <c r="W4" s="581"/>
      <c r="X4" s="581"/>
      <c r="Y4" s="582" t="s">
        <v>78</v>
      </c>
      <c r="Z4" s="586">
        <f>N4*(1+AC4)</f>
        <v>1212.3100000000002</v>
      </c>
      <c r="AA4" s="581"/>
      <c r="AB4" s="582" t="s">
        <v>80</v>
      </c>
      <c r="AC4" s="587">
        <v>7.0000000000000007E-2</v>
      </c>
      <c r="AD4" s="580" t="s">
        <v>81</v>
      </c>
      <c r="AE4" s="585"/>
      <c r="AF4" s="585"/>
      <c r="AG4" s="585"/>
      <c r="AH4" s="581"/>
      <c r="AI4" s="581"/>
      <c r="AJ4" s="581"/>
      <c r="AK4" s="582" t="s">
        <v>78</v>
      </c>
      <c r="AL4" s="586">
        <f>Z4*(1+AO4)</f>
        <v>1297.1717000000003</v>
      </c>
      <c r="AM4" s="581"/>
      <c r="AN4" s="582" t="s">
        <v>82</v>
      </c>
      <c r="AO4" s="584">
        <v>7.0000000000000007E-2</v>
      </c>
      <c r="AP4" s="580" t="s">
        <v>83</v>
      </c>
      <c r="AQ4" s="585"/>
      <c r="AR4" s="585"/>
      <c r="AS4" s="585"/>
      <c r="AT4" s="581"/>
      <c r="AU4" s="581"/>
      <c r="AV4" s="581"/>
      <c r="AW4" s="582" t="s">
        <v>78</v>
      </c>
      <c r="AX4" s="586">
        <f>AL4*(1+BA4)</f>
        <v>1387.9737190000005</v>
      </c>
      <c r="AY4" s="581"/>
      <c r="AZ4" s="582" t="s">
        <v>84</v>
      </c>
      <c r="BA4" s="584">
        <v>7.0000000000000007E-2</v>
      </c>
      <c r="BB4" s="580" t="s">
        <v>85</v>
      </c>
      <c r="BC4" s="585"/>
      <c r="BD4" s="585"/>
      <c r="BE4" s="585"/>
      <c r="BF4" s="581"/>
      <c r="BG4" s="581"/>
      <c r="BH4" s="581"/>
      <c r="BI4" s="582" t="s">
        <v>78</v>
      </c>
      <c r="BJ4" s="586">
        <f>AX4*(1+BM4)</f>
        <v>1485.1318793300006</v>
      </c>
      <c r="BK4" s="581"/>
      <c r="BL4" s="582" t="s">
        <v>86</v>
      </c>
      <c r="BM4" s="587">
        <v>7.0000000000000007E-2</v>
      </c>
      <c r="BN4" s="580" t="s">
        <v>87</v>
      </c>
      <c r="BO4" s="585"/>
      <c r="BP4" s="585"/>
      <c r="BQ4" s="585"/>
      <c r="BR4" s="581"/>
      <c r="BS4" s="581"/>
      <c r="BT4" s="581"/>
      <c r="BU4" s="582" t="s">
        <v>78</v>
      </c>
      <c r="BV4" s="586">
        <f>BJ4*(1+BY4)</f>
        <v>1589.0911108831008</v>
      </c>
      <c r="BW4" s="581"/>
      <c r="BX4" s="582" t="s">
        <v>88</v>
      </c>
      <c r="BY4" s="584">
        <v>7.0000000000000007E-2</v>
      </c>
      <c r="BZ4" s="580" t="s">
        <v>89</v>
      </c>
      <c r="CA4" s="585"/>
      <c r="CB4" s="585"/>
      <c r="CC4" s="585"/>
      <c r="CD4" s="581"/>
      <c r="CE4" s="581"/>
      <c r="CF4" s="581"/>
      <c r="CG4" s="582" t="s">
        <v>78</v>
      </c>
      <c r="CH4" s="586">
        <f>BV4*(1+CK4)</f>
        <v>1700.327488644918</v>
      </c>
      <c r="CI4" s="581"/>
      <c r="CJ4" s="582" t="s">
        <v>90</v>
      </c>
      <c r="CK4" s="587">
        <v>7.0000000000000007E-2</v>
      </c>
      <c r="CL4" s="580" t="s">
        <v>91</v>
      </c>
      <c r="CM4" s="585"/>
      <c r="CN4" s="585"/>
      <c r="CO4" s="585"/>
      <c r="CP4" s="581"/>
      <c r="CQ4" s="581"/>
      <c r="CR4" s="581"/>
      <c r="CS4" s="582" t="s">
        <v>78</v>
      </c>
      <c r="CT4" s="586">
        <f>CH4*(1+CW4)</f>
        <v>1819.3504128500624</v>
      </c>
      <c r="CU4" s="581"/>
      <c r="CV4" s="582" t="s">
        <v>92</v>
      </c>
      <c r="CW4" s="584">
        <v>7.0000000000000007E-2</v>
      </c>
      <c r="CX4" s="580" t="s">
        <v>93</v>
      </c>
      <c r="CY4" s="585"/>
      <c r="CZ4" s="585"/>
      <c r="DA4" s="585"/>
      <c r="DB4" s="581"/>
      <c r="DC4" s="581"/>
      <c r="DD4" s="581"/>
      <c r="DE4" s="582" t="s">
        <v>78</v>
      </c>
      <c r="DF4" s="586">
        <f>CT4*(1+DI4)</f>
        <v>1946.7049417495668</v>
      </c>
      <c r="DG4" s="581"/>
      <c r="DH4" s="582" t="s">
        <v>94</v>
      </c>
      <c r="DI4" s="587">
        <v>7.0000000000000007E-2</v>
      </c>
      <c r="DJ4" s="580" t="s">
        <v>95</v>
      </c>
      <c r="DK4" s="585"/>
      <c r="DL4" s="585"/>
      <c r="DM4" s="585"/>
      <c r="DN4" s="581"/>
      <c r="DO4" s="581"/>
      <c r="DP4" s="581"/>
      <c r="DQ4" s="582" t="s">
        <v>78</v>
      </c>
      <c r="DR4" s="586">
        <f>DF4*(1+DU4)</f>
        <v>2082.9742876720366</v>
      </c>
      <c r="DS4" s="581"/>
      <c r="DT4" s="582" t="s">
        <v>96</v>
      </c>
      <c r="DU4" s="584">
        <v>7.0000000000000007E-2</v>
      </c>
    </row>
    <row r="5" spans="3:125" x14ac:dyDescent="0.25">
      <c r="D5" s="163"/>
      <c r="E5" s="315"/>
      <c r="F5" s="396" t="s">
        <v>97</v>
      </c>
      <c r="G5" s="397" t="s">
        <v>98</v>
      </c>
      <c r="H5" s="397" t="s">
        <v>99</v>
      </c>
      <c r="I5" s="397" t="s">
        <v>100</v>
      </c>
      <c r="J5" s="397" t="s">
        <v>101</v>
      </c>
      <c r="K5" s="397" t="s">
        <v>102</v>
      </c>
      <c r="L5" s="397" t="s">
        <v>103</v>
      </c>
      <c r="M5" s="397" t="s">
        <v>104</v>
      </c>
      <c r="N5" s="397" t="s">
        <v>105</v>
      </c>
      <c r="O5" s="397" t="s">
        <v>106</v>
      </c>
      <c r="P5" s="397" t="s">
        <v>107</v>
      </c>
      <c r="Q5" s="398" t="s">
        <v>108</v>
      </c>
      <c r="R5" s="396" t="s">
        <v>97</v>
      </c>
      <c r="S5" s="397" t="s">
        <v>98</v>
      </c>
      <c r="T5" s="397" t="s">
        <v>99</v>
      </c>
      <c r="U5" s="397" t="s">
        <v>100</v>
      </c>
      <c r="V5" s="397" t="s">
        <v>101</v>
      </c>
      <c r="W5" s="397" t="s">
        <v>102</v>
      </c>
      <c r="X5" s="397" t="s">
        <v>103</v>
      </c>
      <c r="Y5" s="397" t="s">
        <v>104</v>
      </c>
      <c r="Z5" s="397" t="s">
        <v>105</v>
      </c>
      <c r="AA5" s="397" t="s">
        <v>106</v>
      </c>
      <c r="AB5" s="397" t="s">
        <v>107</v>
      </c>
      <c r="AC5" s="398" t="s">
        <v>108</v>
      </c>
      <c r="AD5" s="396" t="s">
        <v>97</v>
      </c>
      <c r="AE5" s="397" t="s">
        <v>98</v>
      </c>
      <c r="AF5" s="397" t="s">
        <v>99</v>
      </c>
      <c r="AG5" s="397" t="s">
        <v>100</v>
      </c>
      <c r="AH5" s="397" t="s">
        <v>101</v>
      </c>
      <c r="AI5" s="397" t="s">
        <v>102</v>
      </c>
      <c r="AJ5" s="397" t="s">
        <v>103</v>
      </c>
      <c r="AK5" s="397" t="s">
        <v>104</v>
      </c>
      <c r="AL5" s="397" t="s">
        <v>105</v>
      </c>
      <c r="AM5" s="397" t="s">
        <v>106</v>
      </c>
      <c r="AN5" s="397" t="s">
        <v>107</v>
      </c>
      <c r="AO5" s="398" t="s">
        <v>108</v>
      </c>
      <c r="AP5" s="396" t="s">
        <v>97</v>
      </c>
      <c r="AQ5" s="397" t="s">
        <v>98</v>
      </c>
      <c r="AR5" s="397" t="s">
        <v>99</v>
      </c>
      <c r="AS5" s="397" t="s">
        <v>100</v>
      </c>
      <c r="AT5" s="397" t="s">
        <v>101</v>
      </c>
      <c r="AU5" s="397" t="s">
        <v>102</v>
      </c>
      <c r="AV5" s="397" t="s">
        <v>103</v>
      </c>
      <c r="AW5" s="397" t="s">
        <v>104</v>
      </c>
      <c r="AX5" s="397" t="s">
        <v>105</v>
      </c>
      <c r="AY5" s="397" t="s">
        <v>106</v>
      </c>
      <c r="AZ5" s="397" t="s">
        <v>107</v>
      </c>
      <c r="BA5" s="398" t="s">
        <v>108</v>
      </c>
      <c r="BB5" s="396" t="s">
        <v>97</v>
      </c>
      <c r="BC5" s="397" t="s">
        <v>98</v>
      </c>
      <c r="BD5" s="397" t="s">
        <v>99</v>
      </c>
      <c r="BE5" s="397" t="s">
        <v>100</v>
      </c>
      <c r="BF5" s="397" t="s">
        <v>101</v>
      </c>
      <c r="BG5" s="397" t="s">
        <v>102</v>
      </c>
      <c r="BH5" s="397" t="s">
        <v>103</v>
      </c>
      <c r="BI5" s="397" t="s">
        <v>104</v>
      </c>
      <c r="BJ5" s="397" t="s">
        <v>105</v>
      </c>
      <c r="BK5" s="397" t="s">
        <v>106</v>
      </c>
      <c r="BL5" s="397" t="s">
        <v>107</v>
      </c>
      <c r="BM5" s="398" t="s">
        <v>108</v>
      </c>
      <c r="BN5" s="396" t="s">
        <v>97</v>
      </c>
      <c r="BO5" s="397" t="s">
        <v>98</v>
      </c>
      <c r="BP5" s="397" t="s">
        <v>99</v>
      </c>
      <c r="BQ5" s="397" t="s">
        <v>100</v>
      </c>
      <c r="BR5" s="397" t="s">
        <v>101</v>
      </c>
      <c r="BS5" s="397" t="s">
        <v>102</v>
      </c>
      <c r="BT5" s="397" t="s">
        <v>103</v>
      </c>
      <c r="BU5" s="397" t="s">
        <v>104</v>
      </c>
      <c r="BV5" s="397" t="s">
        <v>105</v>
      </c>
      <c r="BW5" s="397" t="s">
        <v>106</v>
      </c>
      <c r="BX5" s="397" t="s">
        <v>107</v>
      </c>
      <c r="BY5" s="398" t="s">
        <v>108</v>
      </c>
      <c r="BZ5" s="397" t="s">
        <v>97</v>
      </c>
      <c r="CA5" s="397" t="s">
        <v>98</v>
      </c>
      <c r="CB5" s="397" t="s">
        <v>99</v>
      </c>
      <c r="CC5" s="397" t="s">
        <v>100</v>
      </c>
      <c r="CD5" s="397" t="s">
        <v>101</v>
      </c>
      <c r="CE5" s="397" t="s">
        <v>102</v>
      </c>
      <c r="CF5" s="397" t="s">
        <v>103</v>
      </c>
      <c r="CG5" s="397" t="s">
        <v>104</v>
      </c>
      <c r="CH5" s="397" t="s">
        <v>105</v>
      </c>
      <c r="CI5" s="397" t="s">
        <v>106</v>
      </c>
      <c r="CJ5" s="397" t="s">
        <v>107</v>
      </c>
      <c r="CK5" s="398" t="s">
        <v>108</v>
      </c>
      <c r="CL5" s="396" t="s">
        <v>97</v>
      </c>
      <c r="CM5" s="397" t="s">
        <v>98</v>
      </c>
      <c r="CN5" s="397" t="s">
        <v>99</v>
      </c>
      <c r="CO5" s="397" t="s">
        <v>100</v>
      </c>
      <c r="CP5" s="397" t="s">
        <v>101</v>
      </c>
      <c r="CQ5" s="397" t="s">
        <v>102</v>
      </c>
      <c r="CR5" s="397" t="s">
        <v>103</v>
      </c>
      <c r="CS5" s="397" t="s">
        <v>104</v>
      </c>
      <c r="CT5" s="397" t="s">
        <v>105</v>
      </c>
      <c r="CU5" s="397" t="s">
        <v>106</v>
      </c>
      <c r="CV5" s="397" t="s">
        <v>107</v>
      </c>
      <c r="CW5" s="398" t="s">
        <v>108</v>
      </c>
      <c r="CX5" s="396" t="s">
        <v>97</v>
      </c>
      <c r="CY5" s="397" t="s">
        <v>98</v>
      </c>
      <c r="CZ5" s="397" t="s">
        <v>99</v>
      </c>
      <c r="DA5" s="397" t="s">
        <v>100</v>
      </c>
      <c r="DB5" s="397" t="s">
        <v>101</v>
      </c>
      <c r="DC5" s="397" t="s">
        <v>102</v>
      </c>
      <c r="DD5" s="397" t="s">
        <v>103</v>
      </c>
      <c r="DE5" s="397" t="s">
        <v>104</v>
      </c>
      <c r="DF5" s="397" t="s">
        <v>105</v>
      </c>
      <c r="DG5" s="397" t="s">
        <v>106</v>
      </c>
      <c r="DH5" s="397" t="s">
        <v>107</v>
      </c>
      <c r="DI5" s="398" t="s">
        <v>108</v>
      </c>
      <c r="DJ5" s="396" t="s">
        <v>97</v>
      </c>
      <c r="DK5" s="397" t="s">
        <v>98</v>
      </c>
      <c r="DL5" s="397" t="s">
        <v>99</v>
      </c>
      <c r="DM5" s="397" t="s">
        <v>100</v>
      </c>
      <c r="DN5" s="397" t="s">
        <v>101</v>
      </c>
      <c r="DO5" s="397" t="s">
        <v>102</v>
      </c>
      <c r="DP5" s="397" t="s">
        <v>103</v>
      </c>
      <c r="DQ5" s="397" t="s">
        <v>104</v>
      </c>
      <c r="DR5" s="397" t="s">
        <v>105</v>
      </c>
      <c r="DS5" s="397" t="s">
        <v>106</v>
      </c>
      <c r="DT5" s="397" t="s">
        <v>107</v>
      </c>
      <c r="DU5" s="398" t="s">
        <v>108</v>
      </c>
    </row>
    <row r="6" spans="3:125" x14ac:dyDescent="0.25">
      <c r="D6" s="5" t="s">
        <v>472</v>
      </c>
      <c r="E6" s="588"/>
      <c r="F6" s="589">
        <v>6.5600000000000006E-2</v>
      </c>
      <c r="G6" s="590">
        <v>7.9721311480000001E-2</v>
      </c>
      <c r="H6" s="590">
        <v>9.2327868849999994E-2</v>
      </c>
      <c r="I6" s="590">
        <v>6.4404371586666703E-2</v>
      </c>
      <c r="J6" s="590">
        <v>6.4404371586666703E-2</v>
      </c>
      <c r="K6" s="590">
        <v>8.3466666666666703E-2</v>
      </c>
      <c r="L6" s="590">
        <v>9.2633879776666997E-2</v>
      </c>
      <c r="M6" s="590">
        <v>9.8801912566666997E-2</v>
      </c>
      <c r="N6" s="591">
        <v>9.9269945356667E-2</v>
      </c>
      <c r="O6" s="590">
        <v>9.2633879776666997E-2</v>
      </c>
      <c r="P6" s="590">
        <v>8.8437158466666693E-2</v>
      </c>
      <c r="Q6" s="591">
        <v>7.8440437156666695E-2</v>
      </c>
      <c r="R6" s="589">
        <v>0.1096</v>
      </c>
      <c r="S6" s="590">
        <v>9.8721311480000004E-2</v>
      </c>
      <c r="T6" s="590">
        <v>7.8920868850000006E-2</v>
      </c>
      <c r="U6" s="590">
        <v>5.8737704920000001E-2</v>
      </c>
      <c r="V6" s="590">
        <v>5.8737704920000001E-2</v>
      </c>
      <c r="W6" s="590">
        <v>7.4800000000000005E-2</v>
      </c>
      <c r="X6" s="590">
        <v>8.9117213109999996E-2</v>
      </c>
      <c r="Y6" s="590">
        <v>9.2885245899999996E-2</v>
      </c>
      <c r="Z6" s="590">
        <v>9.7803278689999995E-2</v>
      </c>
      <c r="AA6" s="590">
        <v>8.9117213109999996E-2</v>
      </c>
      <c r="AB6" s="590">
        <v>7.7770491799999994E-2</v>
      </c>
      <c r="AC6" s="592">
        <v>7.3873770490000004E-2</v>
      </c>
      <c r="AD6" s="589">
        <v>0.1096</v>
      </c>
      <c r="AE6" s="590">
        <v>9.8721311480000004E-2</v>
      </c>
      <c r="AF6" s="590">
        <v>7.8920868850000006E-2</v>
      </c>
      <c r="AG6" s="590">
        <v>5.8737704920000001E-2</v>
      </c>
      <c r="AH6" s="590">
        <v>5.8737704920000001E-2</v>
      </c>
      <c r="AI6" s="590">
        <v>7.4800000000000005E-2</v>
      </c>
      <c r="AJ6" s="590">
        <v>8.9117213109999996E-2</v>
      </c>
      <c r="AK6" s="590">
        <v>9.2885245899999996E-2</v>
      </c>
      <c r="AL6" s="590">
        <v>9.7803278689999995E-2</v>
      </c>
      <c r="AM6" s="590">
        <v>8.9117213109999996E-2</v>
      </c>
      <c r="AN6" s="590">
        <v>7.7770491799999994E-2</v>
      </c>
      <c r="AO6" s="592">
        <v>7.3873770490000004E-2</v>
      </c>
      <c r="AP6" s="589">
        <v>0.1096</v>
      </c>
      <c r="AQ6" s="590">
        <v>9.8721311480000004E-2</v>
      </c>
      <c r="AR6" s="590">
        <v>7.8920868850000006E-2</v>
      </c>
      <c r="AS6" s="590">
        <v>5.8737704920000001E-2</v>
      </c>
      <c r="AT6" s="590">
        <v>5.8737704920000001E-2</v>
      </c>
      <c r="AU6" s="590">
        <v>7.4800000000000005E-2</v>
      </c>
      <c r="AV6" s="590">
        <v>8.9117213109999996E-2</v>
      </c>
      <c r="AW6" s="590">
        <v>9.2885245899999996E-2</v>
      </c>
      <c r="AX6" s="590">
        <v>9.7803278689999995E-2</v>
      </c>
      <c r="AY6" s="590">
        <v>8.9117213109999996E-2</v>
      </c>
      <c r="AZ6" s="590">
        <v>7.7770491799999994E-2</v>
      </c>
      <c r="BA6" s="592">
        <v>7.3873770490000004E-2</v>
      </c>
      <c r="BB6" s="589">
        <v>0.1096</v>
      </c>
      <c r="BC6" s="590">
        <v>9.8721311480000004E-2</v>
      </c>
      <c r="BD6" s="590">
        <v>7.8920868850000006E-2</v>
      </c>
      <c r="BE6" s="590">
        <v>5.8737704920000001E-2</v>
      </c>
      <c r="BF6" s="590">
        <v>5.8737704920000001E-2</v>
      </c>
      <c r="BG6" s="590">
        <v>7.4800000000000005E-2</v>
      </c>
      <c r="BH6" s="590">
        <v>8.9117213109999996E-2</v>
      </c>
      <c r="BI6" s="590">
        <v>9.2885245899999996E-2</v>
      </c>
      <c r="BJ6" s="590">
        <v>9.7803278689999995E-2</v>
      </c>
      <c r="BK6" s="590">
        <v>8.9117213109999996E-2</v>
      </c>
      <c r="BL6" s="590">
        <v>7.7770491799999994E-2</v>
      </c>
      <c r="BM6" s="592">
        <v>7.3873770490000004E-2</v>
      </c>
      <c r="BN6" s="589">
        <v>0.1096</v>
      </c>
      <c r="BO6" s="590">
        <v>9.8721311480000004E-2</v>
      </c>
      <c r="BP6" s="590">
        <v>7.8920868850000006E-2</v>
      </c>
      <c r="BQ6" s="590">
        <v>5.8737704920000001E-2</v>
      </c>
      <c r="BR6" s="590">
        <v>5.8737704920000001E-2</v>
      </c>
      <c r="BS6" s="590">
        <v>7.4800000000000005E-2</v>
      </c>
      <c r="BT6" s="590">
        <v>8.9117213109999996E-2</v>
      </c>
      <c r="BU6" s="590">
        <v>9.2885245899999996E-2</v>
      </c>
      <c r="BV6" s="590">
        <v>9.7803278689999995E-2</v>
      </c>
      <c r="BW6" s="590">
        <v>8.9117213109999996E-2</v>
      </c>
      <c r="BX6" s="590">
        <v>7.7770491799999994E-2</v>
      </c>
      <c r="BY6" s="592">
        <v>7.3873770490000004E-2</v>
      </c>
      <c r="BZ6" s="590">
        <v>0.1096</v>
      </c>
      <c r="CA6" s="590">
        <v>9.8721311480000004E-2</v>
      </c>
      <c r="CB6" s="590">
        <v>7.8920868850000006E-2</v>
      </c>
      <c r="CC6" s="590">
        <v>5.8737704920000001E-2</v>
      </c>
      <c r="CD6" s="590">
        <v>5.8737704920000001E-2</v>
      </c>
      <c r="CE6" s="590">
        <v>7.4800000000000005E-2</v>
      </c>
      <c r="CF6" s="590">
        <v>8.9117213109999996E-2</v>
      </c>
      <c r="CG6" s="590">
        <v>9.2885245899999996E-2</v>
      </c>
      <c r="CH6" s="590">
        <v>9.7803278689999995E-2</v>
      </c>
      <c r="CI6" s="590">
        <v>8.9117213109999996E-2</v>
      </c>
      <c r="CJ6" s="590">
        <v>7.7770491799999994E-2</v>
      </c>
      <c r="CK6" s="592">
        <v>7.3873770490000004E-2</v>
      </c>
      <c r="CL6" s="589">
        <v>0.1096</v>
      </c>
      <c r="CM6" s="590">
        <v>9.8721311480000004E-2</v>
      </c>
      <c r="CN6" s="590">
        <v>7.8920868850000006E-2</v>
      </c>
      <c r="CO6" s="590">
        <v>5.8737704920000001E-2</v>
      </c>
      <c r="CP6" s="590">
        <v>5.8737704920000001E-2</v>
      </c>
      <c r="CQ6" s="590">
        <v>7.4800000000000005E-2</v>
      </c>
      <c r="CR6" s="590">
        <v>8.9117213109999996E-2</v>
      </c>
      <c r="CS6" s="590">
        <v>9.2885245899999996E-2</v>
      </c>
      <c r="CT6" s="590">
        <v>9.7803278689999995E-2</v>
      </c>
      <c r="CU6" s="590">
        <v>8.9117213109999996E-2</v>
      </c>
      <c r="CV6" s="590">
        <v>7.7770491799999994E-2</v>
      </c>
      <c r="CW6" s="592">
        <v>7.3873770490000004E-2</v>
      </c>
      <c r="CX6" s="589">
        <v>0.1096</v>
      </c>
      <c r="CY6" s="590">
        <v>9.8721311480000004E-2</v>
      </c>
      <c r="CZ6" s="590">
        <v>7.8920868850000006E-2</v>
      </c>
      <c r="DA6" s="590">
        <v>5.8737704920000001E-2</v>
      </c>
      <c r="DB6" s="590">
        <v>5.8737704920000001E-2</v>
      </c>
      <c r="DC6" s="590">
        <v>7.4800000000000005E-2</v>
      </c>
      <c r="DD6" s="590">
        <v>8.9117213109999996E-2</v>
      </c>
      <c r="DE6" s="590">
        <v>9.2885245899999996E-2</v>
      </c>
      <c r="DF6" s="590">
        <v>9.7803278689999995E-2</v>
      </c>
      <c r="DG6" s="590">
        <v>8.9117213109999996E-2</v>
      </c>
      <c r="DH6" s="590">
        <v>7.7770491799999994E-2</v>
      </c>
      <c r="DI6" s="592">
        <v>7.3873770490000004E-2</v>
      </c>
      <c r="DJ6" s="589">
        <v>0.1096</v>
      </c>
      <c r="DK6" s="590">
        <v>9.8721311480000004E-2</v>
      </c>
      <c r="DL6" s="590">
        <v>7.8920868850000006E-2</v>
      </c>
      <c r="DM6" s="590">
        <v>5.8737704920000001E-2</v>
      </c>
      <c r="DN6" s="590">
        <v>5.8737704920000001E-2</v>
      </c>
      <c r="DO6" s="590">
        <v>7.4800000000000005E-2</v>
      </c>
      <c r="DP6" s="590">
        <v>8.9117213109999996E-2</v>
      </c>
      <c r="DQ6" s="590">
        <v>9.2885245899999996E-2</v>
      </c>
      <c r="DR6" s="590">
        <v>9.7803278689999995E-2</v>
      </c>
      <c r="DS6" s="590">
        <v>8.9117213109999996E-2</v>
      </c>
      <c r="DT6" s="590">
        <v>7.7770491799999994E-2</v>
      </c>
      <c r="DU6" s="592">
        <v>7.3873770490000004E-2</v>
      </c>
    </row>
    <row r="7" spans="3:125" x14ac:dyDescent="0.25">
      <c r="D7" s="170" t="s">
        <v>27</v>
      </c>
      <c r="E7" s="593"/>
      <c r="F7" s="594">
        <f>F6*$N$4</f>
        <v>74.32480000000001</v>
      </c>
      <c r="G7" s="595">
        <f>G6*$N$4</f>
        <v>90.324245906840005</v>
      </c>
      <c r="H7" s="595">
        <f>H6*$N$4</f>
        <v>104.60747540704999</v>
      </c>
      <c r="I7" s="595">
        <f>I6*$N$4</f>
        <v>72.970153007693369</v>
      </c>
      <c r="J7" s="595">
        <f t="shared" ref="J7:Q7" si="0">J6*$N$4</f>
        <v>72.970153007693369</v>
      </c>
      <c r="K7" s="595">
        <f t="shared" si="0"/>
        <v>94.567733333333379</v>
      </c>
      <c r="L7" s="595">
        <f>L6*$N$4</f>
        <v>104.95418578696371</v>
      </c>
      <c r="M7" s="595">
        <f t="shared" si="0"/>
        <v>111.94256693803371</v>
      </c>
      <c r="N7" s="595">
        <f t="shared" si="0"/>
        <v>112.47284808910371</v>
      </c>
      <c r="O7" s="595">
        <f t="shared" si="0"/>
        <v>104.95418578696371</v>
      </c>
      <c r="P7" s="595">
        <f t="shared" si="0"/>
        <v>100.19930054273337</v>
      </c>
      <c r="Q7" s="595">
        <f t="shared" si="0"/>
        <v>88.873015298503361</v>
      </c>
      <c r="R7" s="594">
        <f>R6*$Z$4</f>
        <v>132.86917600000001</v>
      </c>
      <c r="S7" s="595">
        <f>S6*$Z$4</f>
        <v>119.68083312031882</v>
      </c>
      <c r="T7" s="595">
        <f>T6*$Z$4</f>
        <v>95.676558515543519</v>
      </c>
      <c r="U7" s="595">
        <f t="shared" ref="U7:AB7" si="1">U6*$Z$4</f>
        <v>71.208307051565214</v>
      </c>
      <c r="V7" s="595">
        <f t="shared" si="1"/>
        <v>71.208307051565214</v>
      </c>
      <c r="W7" s="595">
        <f t="shared" si="1"/>
        <v>90.680788000000021</v>
      </c>
      <c r="X7" s="595">
        <f t="shared" si="1"/>
        <v>108.03768862538411</v>
      </c>
      <c r="Y7" s="595">
        <f t="shared" si="1"/>
        <v>112.60571245702901</v>
      </c>
      <c r="Z7" s="595">
        <f t="shared" si="1"/>
        <v>118.56789278867392</v>
      </c>
      <c r="AA7" s="595">
        <f t="shared" si="1"/>
        <v>108.03768862538411</v>
      </c>
      <c r="AB7" s="595">
        <f t="shared" si="1"/>
        <v>94.281944914058002</v>
      </c>
      <c r="AC7" s="596">
        <f>AC6*$Z$4</f>
        <v>89.557910702731917</v>
      </c>
      <c r="AD7" s="594">
        <f>AD6*$AL$4</f>
        <v>142.17001832000005</v>
      </c>
      <c r="AE7" s="595">
        <f>AE6*$AL$4</f>
        <v>128.05849143874116</v>
      </c>
      <c r="AF7" s="595">
        <f t="shared" ref="AF7:AO7" si="2">AF6*$AL$4</f>
        <v>102.37391761163158</v>
      </c>
      <c r="AG7" s="595">
        <f t="shared" si="2"/>
        <v>76.192888545174782</v>
      </c>
      <c r="AH7" s="595">
        <f t="shared" si="2"/>
        <v>76.192888545174782</v>
      </c>
      <c r="AI7" s="595">
        <f t="shared" si="2"/>
        <v>97.028443160000037</v>
      </c>
      <c r="AJ7" s="595">
        <f t="shared" si="2"/>
        <v>115.60032682916101</v>
      </c>
      <c r="AK7" s="595">
        <f t="shared" si="2"/>
        <v>120.48811232902105</v>
      </c>
      <c r="AL7" s="595">
        <f t="shared" si="2"/>
        <v>126.8676452838811</v>
      </c>
      <c r="AM7" s="595">
        <f t="shared" si="2"/>
        <v>115.60032682916101</v>
      </c>
      <c r="AN7" s="595">
        <f>AN6*$AL$4</f>
        <v>100.88168105804208</v>
      </c>
      <c r="AO7" s="596">
        <f t="shared" si="2"/>
        <v>95.82696445192316</v>
      </c>
      <c r="AP7" s="594">
        <f>AP6*$AX$4</f>
        <v>152.12191960240006</v>
      </c>
      <c r="AQ7" s="595">
        <f t="shared" ref="AQ7:BA7" si="3">AQ6*$AX$4</f>
        <v>137.02258583945306</v>
      </c>
      <c r="AR7" s="595">
        <f t="shared" si="3"/>
        <v>109.5400918444458</v>
      </c>
      <c r="AS7" s="595">
        <f t="shared" si="3"/>
        <v>81.526390743337032</v>
      </c>
      <c r="AT7" s="595">
        <f t="shared" si="3"/>
        <v>81.526390743337032</v>
      </c>
      <c r="AU7" s="595">
        <f t="shared" si="3"/>
        <v>103.82043418120004</v>
      </c>
      <c r="AV7" s="595">
        <f t="shared" si="3"/>
        <v>123.6923497072023</v>
      </c>
      <c r="AW7" s="595">
        <f t="shared" si="3"/>
        <v>128.92228019205254</v>
      </c>
      <c r="AX7" s="595">
        <f t="shared" si="3"/>
        <v>135.74838045375279</v>
      </c>
      <c r="AY7" s="595">
        <f t="shared" si="3"/>
        <v>123.6923497072023</v>
      </c>
      <c r="AZ7" s="595">
        <f t="shared" si="3"/>
        <v>107.94339873210504</v>
      </c>
      <c r="BA7" s="596">
        <f t="shared" si="3"/>
        <v>102.5348519635578</v>
      </c>
      <c r="BB7" s="594">
        <f>BB6*$BJ$4</f>
        <v>162.77045397456808</v>
      </c>
      <c r="BC7" s="595">
        <f t="shared" ref="BC7:BM7" si="4">BC6*$BJ$4</f>
        <v>146.61416684821478</v>
      </c>
      <c r="BD7" s="595">
        <f t="shared" si="4"/>
        <v>117.20789827355702</v>
      </c>
      <c r="BE7" s="595">
        <f t="shared" si="4"/>
        <v>87.233238095370623</v>
      </c>
      <c r="BF7" s="595">
        <f t="shared" si="4"/>
        <v>87.233238095370623</v>
      </c>
      <c r="BG7" s="595">
        <f t="shared" si="4"/>
        <v>111.08786457388406</v>
      </c>
      <c r="BH7" s="595">
        <f t="shared" si="4"/>
        <v>132.35081418670646</v>
      </c>
      <c r="BI7" s="595">
        <f t="shared" si="4"/>
        <v>137.94683980549624</v>
      </c>
      <c r="BJ7" s="595">
        <f t="shared" si="4"/>
        <v>145.25076708551549</v>
      </c>
      <c r="BK7" s="595">
        <f t="shared" si="4"/>
        <v>132.35081418670646</v>
      </c>
      <c r="BL7" s="595">
        <f t="shared" si="4"/>
        <v>115.4994366433524</v>
      </c>
      <c r="BM7" s="596">
        <f t="shared" si="4"/>
        <v>109.71229160100685</v>
      </c>
      <c r="BN7" s="594">
        <f>BN6*$BV$4</f>
        <v>174.16438575278784</v>
      </c>
      <c r="BO7" s="595">
        <f t="shared" ref="BO7:BX7" si="5">BO6*$BV$4</f>
        <v>156.87715852758981</v>
      </c>
      <c r="BP7" s="595">
        <f t="shared" si="5"/>
        <v>125.41245115270601</v>
      </c>
      <c r="BQ7" s="595">
        <f t="shared" si="5"/>
        <v>93.339564762046578</v>
      </c>
      <c r="BR7" s="595">
        <f t="shared" si="5"/>
        <v>93.339564762046578</v>
      </c>
      <c r="BS7" s="595">
        <f t="shared" si="5"/>
        <v>118.86401509405594</v>
      </c>
      <c r="BT7" s="595">
        <f t="shared" si="5"/>
        <v>141.61537117977593</v>
      </c>
      <c r="BU7" s="595">
        <f t="shared" si="5"/>
        <v>147.60311859188099</v>
      </c>
      <c r="BV7" s="595">
        <f t="shared" si="5"/>
        <v>155.41832078150159</v>
      </c>
      <c r="BW7" s="595">
        <f t="shared" si="5"/>
        <v>141.61537117977593</v>
      </c>
      <c r="BX7" s="595">
        <f t="shared" si="5"/>
        <v>123.58439720838707</v>
      </c>
      <c r="BY7" s="596">
        <f>BY6*$BV$4</f>
        <v>117.39215201307734</v>
      </c>
      <c r="BZ7" s="595">
        <f>BZ6*$CH$4</f>
        <v>186.35589275548301</v>
      </c>
      <c r="CA7" s="595">
        <f t="shared" ref="CA7:CK7" si="6">CA6*$CH$4</f>
        <v>167.85855962452112</v>
      </c>
      <c r="CB7" s="595">
        <f t="shared" si="6"/>
        <v>134.19132273339545</v>
      </c>
      <c r="CC7" s="595">
        <f t="shared" si="6"/>
        <v>99.873334295389853</v>
      </c>
      <c r="CD7" s="595">
        <f t="shared" si="6"/>
        <v>99.873334295389853</v>
      </c>
      <c r="CE7" s="595">
        <f t="shared" si="6"/>
        <v>127.18449615063987</v>
      </c>
      <c r="CF7" s="595">
        <f t="shared" si="6"/>
        <v>151.52844716236027</v>
      </c>
      <c r="CG7" s="595">
        <f t="shared" si="6"/>
        <v>157.93533689331267</v>
      </c>
      <c r="CH7" s="595">
        <f t="shared" si="6"/>
        <v>166.29760323620673</v>
      </c>
      <c r="CI7" s="595">
        <f t="shared" si="6"/>
        <v>151.52844716236027</v>
      </c>
      <c r="CJ7" s="595">
        <f t="shared" si="6"/>
        <v>132.23530501297418</v>
      </c>
      <c r="CK7" s="596">
        <f t="shared" si="6"/>
        <v>125.60960265399277</v>
      </c>
      <c r="CL7" s="594">
        <f>CL6*$CT$4</f>
        <v>199.40080524836685</v>
      </c>
      <c r="CM7" s="595">
        <f t="shared" ref="CM7:CW7" si="7">CM6*$CT$4</f>
        <v>179.60865879823763</v>
      </c>
      <c r="CN7" s="595">
        <f t="shared" si="7"/>
        <v>143.58471532473314</v>
      </c>
      <c r="CO7" s="595">
        <f t="shared" si="7"/>
        <v>106.86446769606715</v>
      </c>
      <c r="CP7" s="595">
        <f t="shared" si="7"/>
        <v>106.86446769606715</v>
      </c>
      <c r="CQ7" s="595">
        <f t="shared" si="7"/>
        <v>136.08741088118467</v>
      </c>
      <c r="CR7" s="595">
        <f t="shared" si="7"/>
        <v>162.13543846372548</v>
      </c>
      <c r="CS7" s="595">
        <f t="shared" si="7"/>
        <v>168.99081047584457</v>
      </c>
      <c r="CT7" s="595">
        <f t="shared" si="7"/>
        <v>177.93843546274121</v>
      </c>
      <c r="CU7" s="595">
        <f t="shared" si="7"/>
        <v>162.13543846372548</v>
      </c>
      <c r="CV7" s="595">
        <f t="shared" si="7"/>
        <v>141.49177636388239</v>
      </c>
      <c r="CW7" s="596">
        <f t="shared" si="7"/>
        <v>134.40227483977228</v>
      </c>
      <c r="CX7" s="594">
        <f>CX6*$DF$4</f>
        <v>213.35886161575255</v>
      </c>
      <c r="CY7" s="595">
        <f t="shared" ref="CY7:DI7" si="8">CY6*$DF$4</f>
        <v>192.18126491411425</v>
      </c>
      <c r="CZ7" s="595">
        <f t="shared" si="8"/>
        <v>153.63564539746446</v>
      </c>
      <c r="DA7" s="595">
        <f t="shared" si="8"/>
        <v>114.34498043479185</v>
      </c>
      <c r="DB7" s="595">
        <f t="shared" si="8"/>
        <v>114.34498043479185</v>
      </c>
      <c r="DC7" s="595">
        <f t="shared" si="8"/>
        <v>145.6135296428676</v>
      </c>
      <c r="DD7" s="595">
        <f t="shared" si="8"/>
        <v>173.48491915618627</v>
      </c>
      <c r="DE7" s="595">
        <f t="shared" si="8"/>
        <v>180.82016720915368</v>
      </c>
      <c r="DF7" s="595">
        <f t="shared" si="8"/>
        <v>190.39412594513308</v>
      </c>
      <c r="DG7" s="595">
        <f t="shared" si="8"/>
        <v>173.48491915618627</v>
      </c>
      <c r="DH7" s="595">
        <f t="shared" si="8"/>
        <v>151.39620070935416</v>
      </c>
      <c r="DI7" s="596">
        <f t="shared" si="8"/>
        <v>143.81043407855634</v>
      </c>
      <c r="DJ7" s="594">
        <f>DJ6*$DR$4</f>
        <v>228.2939819288552</v>
      </c>
      <c r="DK7" s="595">
        <f t="shared" ref="DK7:DU7" si="9">DK6*$DR$4</f>
        <v>205.63395345810224</v>
      </c>
      <c r="DL7" s="595">
        <f t="shared" si="9"/>
        <v>164.39014057528698</v>
      </c>
      <c r="DM7" s="595">
        <f t="shared" si="9"/>
        <v>122.34912906522727</v>
      </c>
      <c r="DN7" s="595">
        <f t="shared" si="9"/>
        <v>122.34912906522727</v>
      </c>
      <c r="DO7" s="595">
        <f t="shared" si="9"/>
        <v>155.80647671786835</v>
      </c>
      <c r="DP7" s="595">
        <f t="shared" si="9"/>
        <v>185.62886349711931</v>
      </c>
      <c r="DQ7" s="595">
        <f t="shared" si="9"/>
        <v>193.47757891379445</v>
      </c>
      <c r="DR7" s="595">
        <f t="shared" si="9"/>
        <v>203.72171476129242</v>
      </c>
      <c r="DS7" s="595">
        <f t="shared" si="9"/>
        <v>185.62886349711931</v>
      </c>
      <c r="DT7" s="595">
        <f t="shared" si="9"/>
        <v>161.99393475900894</v>
      </c>
      <c r="DU7" s="596">
        <f t="shared" si="9"/>
        <v>153.87716446405528</v>
      </c>
    </row>
    <row r="8" spans="3:125" x14ac:dyDescent="0.25">
      <c r="D8" s="171" t="s">
        <v>68</v>
      </c>
      <c r="E8" s="597"/>
      <c r="F8" s="598">
        <f>F7</f>
        <v>74.32480000000001</v>
      </c>
      <c r="G8" s="599">
        <f>F8+G7</f>
        <v>164.64904590684</v>
      </c>
      <c r="H8" s="599">
        <f t="shared" ref="H8:O8" si="10">G8+H7</f>
        <v>269.25652131389</v>
      </c>
      <c r="I8" s="599">
        <f t="shared" si="10"/>
        <v>342.22667432158335</v>
      </c>
      <c r="J8" s="599">
        <f t="shared" si="10"/>
        <v>415.19682732927674</v>
      </c>
      <c r="K8" s="599">
        <f t="shared" si="10"/>
        <v>509.76456066261011</v>
      </c>
      <c r="L8" s="599">
        <f t="shared" si="10"/>
        <v>614.71874644957381</v>
      </c>
      <c r="M8" s="599">
        <f t="shared" si="10"/>
        <v>726.66131338760749</v>
      </c>
      <c r="N8" s="599">
        <f>M8+N7</f>
        <v>839.13416147671114</v>
      </c>
      <c r="O8" s="599">
        <f t="shared" si="10"/>
        <v>944.0883472636749</v>
      </c>
      <c r="P8" s="599">
        <f>O8+P7</f>
        <v>1044.2876478064084</v>
      </c>
      <c r="Q8" s="600">
        <f>P8+Q7</f>
        <v>1133.1606631049117</v>
      </c>
      <c r="R8" s="598">
        <f>R7-F7+Q8</f>
        <v>1191.7050391049117</v>
      </c>
      <c r="S8" s="599">
        <f t="shared" ref="S8:CC8" si="11">S7-G7+R8</f>
        <v>1221.0616263183906</v>
      </c>
      <c r="T8" s="599">
        <f t="shared" si="11"/>
        <v>1212.1307094268841</v>
      </c>
      <c r="U8" s="599">
        <f t="shared" si="11"/>
        <v>1210.368863470756</v>
      </c>
      <c r="V8" s="599">
        <f t="shared" si="11"/>
        <v>1208.6070175146278</v>
      </c>
      <c r="W8" s="599">
        <f t="shared" si="11"/>
        <v>1204.7200721812944</v>
      </c>
      <c r="X8" s="599">
        <f t="shared" si="11"/>
        <v>1207.8035750197148</v>
      </c>
      <c r="Y8" s="599">
        <f t="shared" si="11"/>
        <v>1208.4667205387102</v>
      </c>
      <c r="Z8" s="599">
        <f t="shared" si="11"/>
        <v>1214.5617652382805</v>
      </c>
      <c r="AA8" s="599">
        <f t="shared" si="11"/>
        <v>1217.6452680767009</v>
      </c>
      <c r="AB8" s="599">
        <f t="shared" si="11"/>
        <v>1211.7279124480256</v>
      </c>
      <c r="AC8" s="599">
        <f t="shared" si="11"/>
        <v>1212.4128078522542</v>
      </c>
      <c r="AD8" s="598">
        <f t="shared" si="11"/>
        <v>1221.7136501722543</v>
      </c>
      <c r="AE8" s="599">
        <f t="shared" si="11"/>
        <v>1230.0913084906767</v>
      </c>
      <c r="AF8" s="599">
        <f t="shared" si="11"/>
        <v>1236.7886675867649</v>
      </c>
      <c r="AG8" s="599">
        <f t="shared" si="11"/>
        <v>1241.7732490803744</v>
      </c>
      <c r="AH8" s="599">
        <f t="shared" si="11"/>
        <v>1246.7578305739839</v>
      </c>
      <c r="AI8" s="599">
        <f t="shared" si="11"/>
        <v>1253.1054857339839</v>
      </c>
      <c r="AJ8" s="599">
        <f t="shared" si="11"/>
        <v>1260.6681239377608</v>
      </c>
      <c r="AK8" s="599">
        <f t="shared" si="11"/>
        <v>1268.5505238097528</v>
      </c>
      <c r="AL8" s="599">
        <f t="shared" si="11"/>
        <v>1276.8502763049601</v>
      </c>
      <c r="AM8" s="599">
        <f t="shared" si="11"/>
        <v>1284.412914508737</v>
      </c>
      <c r="AN8" s="599">
        <f t="shared" si="11"/>
        <v>1291.012650652721</v>
      </c>
      <c r="AO8" s="600">
        <f>AO7-AC7+AN8</f>
        <v>1297.2817044019123</v>
      </c>
      <c r="AP8" s="598">
        <f t="shared" si="11"/>
        <v>1307.2336056843124</v>
      </c>
      <c r="AQ8" s="599">
        <f t="shared" si="11"/>
        <v>1316.1977000850243</v>
      </c>
      <c r="AR8" s="599">
        <f t="shared" si="11"/>
        <v>1323.3638743178385</v>
      </c>
      <c r="AS8" s="599">
        <f t="shared" si="11"/>
        <v>1328.6973765160008</v>
      </c>
      <c r="AT8" s="599">
        <f t="shared" si="11"/>
        <v>1334.030878714163</v>
      </c>
      <c r="AU8" s="599">
        <f t="shared" si="11"/>
        <v>1340.8228697353629</v>
      </c>
      <c r="AV8" s="599">
        <f t="shared" si="11"/>
        <v>1348.9148926134042</v>
      </c>
      <c r="AW8" s="599">
        <f t="shared" si="11"/>
        <v>1357.3490604764356</v>
      </c>
      <c r="AX8" s="599">
        <f t="shared" si="11"/>
        <v>1366.2297956463074</v>
      </c>
      <c r="AY8" s="599">
        <f t="shared" si="11"/>
        <v>1374.3218185243486</v>
      </c>
      <c r="AZ8" s="599">
        <f t="shared" si="11"/>
        <v>1381.3835361984115</v>
      </c>
      <c r="BA8" s="600">
        <f t="shared" si="11"/>
        <v>1388.0914237100462</v>
      </c>
      <c r="BB8" s="598">
        <f t="shared" si="11"/>
        <v>1398.7399580822143</v>
      </c>
      <c r="BC8" s="599">
        <f t="shared" si="11"/>
        <v>1408.3315390909761</v>
      </c>
      <c r="BD8" s="599">
        <f t="shared" si="11"/>
        <v>1415.9993455200872</v>
      </c>
      <c r="BE8" s="599">
        <f t="shared" si="11"/>
        <v>1421.7061928721207</v>
      </c>
      <c r="BF8" s="599">
        <f t="shared" si="11"/>
        <v>1427.4130402241542</v>
      </c>
      <c r="BG8" s="599">
        <f t="shared" si="11"/>
        <v>1434.6804706168382</v>
      </c>
      <c r="BH8" s="599">
        <f t="shared" si="11"/>
        <v>1443.3389350963423</v>
      </c>
      <c r="BI8" s="599">
        <f t="shared" si="11"/>
        <v>1452.363494709786</v>
      </c>
      <c r="BJ8" s="599">
        <f t="shared" si="11"/>
        <v>1461.8658813415486</v>
      </c>
      <c r="BK8" s="599">
        <f t="shared" si="11"/>
        <v>1470.5243458210527</v>
      </c>
      <c r="BL8" s="599">
        <f t="shared" si="11"/>
        <v>1478.0803837323001</v>
      </c>
      <c r="BM8" s="600">
        <f t="shared" si="11"/>
        <v>1485.2578233697491</v>
      </c>
      <c r="BN8" s="598">
        <f t="shared" si="11"/>
        <v>1496.6517551479687</v>
      </c>
      <c r="BO8" s="599">
        <f t="shared" si="11"/>
        <v>1506.9147468273438</v>
      </c>
      <c r="BP8" s="599">
        <f t="shared" si="11"/>
        <v>1515.1192997064927</v>
      </c>
      <c r="BQ8" s="599">
        <f t="shared" si="11"/>
        <v>1521.2256263731688</v>
      </c>
      <c r="BR8" s="599">
        <f t="shared" si="11"/>
        <v>1527.3319530398448</v>
      </c>
      <c r="BS8" s="599">
        <f t="shared" si="11"/>
        <v>1535.1081035600168</v>
      </c>
      <c r="BT8" s="599">
        <f t="shared" si="11"/>
        <v>1544.3726605530862</v>
      </c>
      <c r="BU8" s="599">
        <f t="shared" si="11"/>
        <v>1554.028939339471</v>
      </c>
      <c r="BV8" s="599">
        <f t="shared" si="11"/>
        <v>1564.196493035457</v>
      </c>
      <c r="BW8" s="599">
        <f t="shared" si="11"/>
        <v>1573.4610500285264</v>
      </c>
      <c r="BX8" s="599">
        <f t="shared" si="11"/>
        <v>1581.546010593561</v>
      </c>
      <c r="BY8" s="600">
        <f t="shared" si="11"/>
        <v>1589.2258710056315</v>
      </c>
      <c r="BZ8" s="599">
        <f t="shared" si="11"/>
        <v>1601.4173780083265</v>
      </c>
      <c r="CA8" s="599">
        <f t="shared" si="11"/>
        <v>1612.3987791052577</v>
      </c>
      <c r="CB8" s="599">
        <f t="shared" si="11"/>
        <v>1621.1776506859471</v>
      </c>
      <c r="CC8" s="599">
        <f t="shared" si="11"/>
        <v>1627.7114202192904</v>
      </c>
      <c r="CD8" s="599">
        <f t="shared" ref="CD8:DU8" si="12">CD7-BR7+CC8</f>
        <v>1634.2451897526337</v>
      </c>
      <c r="CE8" s="599">
        <f t="shared" si="12"/>
        <v>1642.5656708092176</v>
      </c>
      <c r="CF8" s="599">
        <f t="shared" si="12"/>
        <v>1652.478746791802</v>
      </c>
      <c r="CG8" s="599">
        <f t="shared" si="12"/>
        <v>1662.8109650932338</v>
      </c>
      <c r="CH8" s="599">
        <f t="shared" si="12"/>
        <v>1673.690247547939</v>
      </c>
      <c r="CI8" s="599">
        <f t="shared" si="12"/>
        <v>1683.6033235305233</v>
      </c>
      <c r="CJ8" s="599">
        <f t="shared" si="12"/>
        <v>1692.2542313351105</v>
      </c>
      <c r="CK8" s="600">
        <f t="shared" si="12"/>
        <v>1700.4716819760258</v>
      </c>
      <c r="CL8" s="598">
        <f t="shared" si="12"/>
        <v>1713.5165944689097</v>
      </c>
      <c r="CM8" s="599">
        <f t="shared" si="12"/>
        <v>1725.2666936426263</v>
      </c>
      <c r="CN8" s="599">
        <f t="shared" si="12"/>
        <v>1734.660086233964</v>
      </c>
      <c r="CO8" s="599">
        <f t="shared" si="12"/>
        <v>1741.6512196346412</v>
      </c>
      <c r="CP8" s="599">
        <f t="shared" si="12"/>
        <v>1748.6423530353184</v>
      </c>
      <c r="CQ8" s="599">
        <f t="shared" si="12"/>
        <v>1757.5452677658632</v>
      </c>
      <c r="CR8" s="599">
        <f t="shared" si="12"/>
        <v>1768.1522590672284</v>
      </c>
      <c r="CS8" s="599">
        <f t="shared" si="12"/>
        <v>1779.2077326497604</v>
      </c>
      <c r="CT8" s="599">
        <f t="shared" si="12"/>
        <v>1790.8485648762949</v>
      </c>
      <c r="CU8" s="599">
        <f t="shared" si="12"/>
        <v>1801.4555561776601</v>
      </c>
      <c r="CV8" s="599">
        <f t="shared" si="12"/>
        <v>1810.7120275285683</v>
      </c>
      <c r="CW8" s="600">
        <f t="shared" si="12"/>
        <v>1819.5046997143479</v>
      </c>
      <c r="CX8" s="598">
        <f t="shared" si="12"/>
        <v>1833.4627560817337</v>
      </c>
      <c r="CY8" s="599">
        <f t="shared" si="12"/>
        <v>1846.0353621976103</v>
      </c>
      <c r="CZ8" s="599">
        <f t="shared" si="12"/>
        <v>1856.0862922703416</v>
      </c>
      <c r="DA8" s="599">
        <f t="shared" si="12"/>
        <v>1863.5668050090662</v>
      </c>
      <c r="DB8" s="599">
        <f t="shared" si="12"/>
        <v>1871.0473177477909</v>
      </c>
      <c r="DC8" s="599">
        <f t="shared" si="12"/>
        <v>1880.5734365094738</v>
      </c>
      <c r="DD8" s="599">
        <f t="shared" si="12"/>
        <v>1891.9229172019345</v>
      </c>
      <c r="DE8" s="599">
        <f t="shared" si="12"/>
        <v>1903.7522739352437</v>
      </c>
      <c r="DF8" s="599">
        <f t="shared" si="12"/>
        <v>1916.2079644176356</v>
      </c>
      <c r="DG8" s="599">
        <f t="shared" si="12"/>
        <v>1927.5574451100963</v>
      </c>
      <c r="DH8" s="599">
        <f t="shared" si="12"/>
        <v>1937.4618694555681</v>
      </c>
      <c r="DI8" s="600">
        <f t="shared" si="12"/>
        <v>1946.8700286943522</v>
      </c>
      <c r="DJ8" s="598">
        <f t="shared" si="12"/>
        <v>1961.8051490074549</v>
      </c>
      <c r="DK8" s="599">
        <f t="shared" si="12"/>
        <v>1975.2578375514429</v>
      </c>
      <c r="DL8" s="599">
        <f t="shared" si="12"/>
        <v>1986.0123327292654</v>
      </c>
      <c r="DM8" s="599">
        <f t="shared" si="12"/>
        <v>1994.0164813597007</v>
      </c>
      <c r="DN8" s="599">
        <f t="shared" si="12"/>
        <v>2002.0206299901361</v>
      </c>
      <c r="DO8" s="599">
        <f t="shared" si="12"/>
        <v>2012.2135770651369</v>
      </c>
      <c r="DP8" s="599">
        <f t="shared" si="12"/>
        <v>2024.35752140607</v>
      </c>
      <c r="DQ8" s="599">
        <f t="shared" si="12"/>
        <v>2037.0149331107107</v>
      </c>
      <c r="DR8" s="599">
        <f t="shared" si="12"/>
        <v>2050.3425219268702</v>
      </c>
      <c r="DS8" s="599">
        <f t="shared" si="12"/>
        <v>2062.4864662678033</v>
      </c>
      <c r="DT8" s="599">
        <f t="shared" si="12"/>
        <v>2073.084200317458</v>
      </c>
      <c r="DU8" s="600">
        <f t="shared" si="12"/>
        <v>2083.1509307029569</v>
      </c>
    </row>
    <row r="9" spans="3:125" x14ac:dyDescent="0.25">
      <c r="D9" s="601"/>
      <c r="F9" s="602">
        <v>1</v>
      </c>
      <c r="G9" s="602">
        <v>2</v>
      </c>
      <c r="H9" s="602">
        <v>6</v>
      </c>
      <c r="I9" s="602">
        <v>10</v>
      </c>
      <c r="J9" s="602">
        <v>10</v>
      </c>
      <c r="K9" s="602">
        <v>8</v>
      </c>
      <c r="L9" s="602">
        <v>5</v>
      </c>
      <c r="M9" s="602">
        <v>4</v>
      </c>
      <c r="N9" s="602">
        <v>3</v>
      </c>
      <c r="O9" s="602">
        <v>5</v>
      </c>
      <c r="P9" s="602">
        <v>7</v>
      </c>
      <c r="Q9" s="602">
        <v>9</v>
      </c>
      <c r="R9" s="602">
        <v>1</v>
      </c>
      <c r="S9" s="602">
        <v>2</v>
      </c>
      <c r="T9" s="602">
        <v>6</v>
      </c>
      <c r="U9" s="602">
        <v>10</v>
      </c>
      <c r="V9" s="602">
        <v>10</v>
      </c>
      <c r="W9" s="602">
        <v>8</v>
      </c>
      <c r="X9" s="602">
        <v>5</v>
      </c>
      <c r="Y9" s="602">
        <v>4</v>
      </c>
      <c r="Z9" s="602">
        <v>3</v>
      </c>
      <c r="AA9" s="602">
        <v>5</v>
      </c>
      <c r="AB9" s="602">
        <v>7</v>
      </c>
      <c r="AC9" s="602">
        <v>9</v>
      </c>
      <c r="AD9" s="603"/>
      <c r="AP9" s="603"/>
      <c r="BB9" s="603"/>
      <c r="BN9" s="603"/>
      <c r="BZ9" s="603"/>
      <c r="CL9" s="603"/>
      <c r="CX9" s="603"/>
      <c r="DJ9" s="603"/>
    </row>
    <row r="10" spans="3:125" x14ac:dyDescent="0.25">
      <c r="D10" s="164"/>
      <c r="E10" s="165"/>
      <c r="F10" s="604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</row>
    <row r="11" spans="3:125" x14ac:dyDescent="0.25">
      <c r="D11" s="164"/>
      <c r="E11" s="165"/>
      <c r="F11" s="604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</row>
    <row r="12" spans="3:125" x14ac:dyDescent="0.25">
      <c r="D12" s="399" t="s">
        <v>109</v>
      </c>
      <c r="E12" s="399" t="s">
        <v>110</v>
      </c>
      <c r="F12" s="396" t="s">
        <v>97</v>
      </c>
      <c r="G12" s="397" t="s">
        <v>98</v>
      </c>
      <c r="H12" s="397" t="s">
        <v>99</v>
      </c>
      <c r="I12" s="397" t="s">
        <v>100</v>
      </c>
      <c r="J12" s="397" t="s">
        <v>101</v>
      </c>
      <c r="K12" s="397" t="s">
        <v>102</v>
      </c>
      <c r="L12" s="397" t="s">
        <v>103</v>
      </c>
      <c r="M12" s="397" t="s">
        <v>104</v>
      </c>
      <c r="N12" s="397" t="s">
        <v>105</v>
      </c>
      <c r="O12" s="397" t="s">
        <v>106</v>
      </c>
      <c r="P12" s="397" t="s">
        <v>107</v>
      </c>
      <c r="Q12" s="174" t="s">
        <v>108</v>
      </c>
      <c r="R12" s="175" t="s">
        <v>97</v>
      </c>
      <c r="S12" s="397" t="s">
        <v>98</v>
      </c>
      <c r="T12" s="397" t="s">
        <v>99</v>
      </c>
      <c r="U12" s="397" t="s">
        <v>100</v>
      </c>
      <c r="V12" s="397" t="s">
        <v>101</v>
      </c>
      <c r="W12" s="397" t="s">
        <v>102</v>
      </c>
      <c r="X12" s="397" t="s">
        <v>103</v>
      </c>
      <c r="Y12" s="397" t="s">
        <v>104</v>
      </c>
      <c r="Z12" s="397" t="s">
        <v>105</v>
      </c>
      <c r="AA12" s="397" t="s">
        <v>106</v>
      </c>
      <c r="AB12" s="397" t="s">
        <v>107</v>
      </c>
      <c r="AC12" s="174" t="s">
        <v>108</v>
      </c>
      <c r="AD12" s="397" t="s">
        <v>97</v>
      </c>
      <c r="AE12" s="397" t="s">
        <v>98</v>
      </c>
      <c r="AF12" s="397" t="s">
        <v>99</v>
      </c>
      <c r="AG12" s="397" t="s">
        <v>100</v>
      </c>
      <c r="AH12" s="397" t="s">
        <v>101</v>
      </c>
      <c r="AI12" s="397" t="s">
        <v>102</v>
      </c>
      <c r="AJ12" s="397" t="s">
        <v>103</v>
      </c>
      <c r="AK12" s="397" t="s">
        <v>104</v>
      </c>
      <c r="AL12" s="397" t="s">
        <v>105</v>
      </c>
      <c r="AM12" s="397" t="s">
        <v>106</v>
      </c>
      <c r="AN12" s="397" t="s">
        <v>107</v>
      </c>
      <c r="AO12" s="398" t="s">
        <v>108</v>
      </c>
      <c r="AP12" s="397" t="s">
        <v>97</v>
      </c>
      <c r="AQ12" s="397" t="s">
        <v>98</v>
      </c>
      <c r="AR12" s="397" t="s">
        <v>99</v>
      </c>
      <c r="AS12" s="397" t="s">
        <v>100</v>
      </c>
      <c r="AT12" s="397" t="s">
        <v>101</v>
      </c>
      <c r="AU12" s="397" t="s">
        <v>102</v>
      </c>
      <c r="AV12" s="397" t="s">
        <v>103</v>
      </c>
      <c r="AW12" s="397" t="s">
        <v>104</v>
      </c>
      <c r="AX12" s="397" t="s">
        <v>105</v>
      </c>
      <c r="AY12" s="397" t="s">
        <v>106</v>
      </c>
      <c r="AZ12" s="397" t="s">
        <v>107</v>
      </c>
      <c r="BA12" s="398" t="s">
        <v>108</v>
      </c>
      <c r="BB12" s="397" t="s">
        <v>97</v>
      </c>
      <c r="BC12" s="397" t="s">
        <v>98</v>
      </c>
      <c r="BD12" s="397" t="s">
        <v>99</v>
      </c>
      <c r="BE12" s="397" t="s">
        <v>100</v>
      </c>
      <c r="BF12" s="397" t="s">
        <v>101</v>
      </c>
      <c r="BG12" s="397" t="s">
        <v>102</v>
      </c>
      <c r="BH12" s="397" t="s">
        <v>103</v>
      </c>
      <c r="BI12" s="397" t="s">
        <v>104</v>
      </c>
      <c r="BJ12" s="397" t="s">
        <v>105</v>
      </c>
      <c r="BK12" s="397" t="s">
        <v>106</v>
      </c>
      <c r="BL12" s="397" t="s">
        <v>107</v>
      </c>
      <c r="BM12" s="398" t="s">
        <v>108</v>
      </c>
      <c r="BN12" s="397" t="s">
        <v>97</v>
      </c>
      <c r="BO12" s="397" t="s">
        <v>98</v>
      </c>
      <c r="BP12" s="397" t="s">
        <v>99</v>
      </c>
      <c r="BQ12" s="397" t="s">
        <v>100</v>
      </c>
      <c r="BR12" s="397" t="s">
        <v>101</v>
      </c>
      <c r="BS12" s="397" t="s">
        <v>102</v>
      </c>
      <c r="BT12" s="397" t="s">
        <v>103</v>
      </c>
      <c r="BU12" s="397" t="s">
        <v>104</v>
      </c>
      <c r="BV12" s="397" t="s">
        <v>105</v>
      </c>
      <c r="BW12" s="397" t="s">
        <v>106</v>
      </c>
      <c r="BX12" s="397" t="s">
        <v>107</v>
      </c>
      <c r="BY12" s="398" t="s">
        <v>108</v>
      </c>
      <c r="BZ12" s="397" t="s">
        <v>97</v>
      </c>
      <c r="CA12" s="397" t="s">
        <v>98</v>
      </c>
      <c r="CB12" s="397" t="s">
        <v>99</v>
      </c>
      <c r="CC12" s="397" t="s">
        <v>100</v>
      </c>
      <c r="CD12" s="397" t="s">
        <v>101</v>
      </c>
      <c r="CE12" s="397" t="s">
        <v>102</v>
      </c>
      <c r="CF12" s="397" t="s">
        <v>103</v>
      </c>
      <c r="CG12" s="397" t="s">
        <v>104</v>
      </c>
      <c r="CH12" s="397" t="s">
        <v>105</v>
      </c>
      <c r="CI12" s="397" t="s">
        <v>106</v>
      </c>
      <c r="CJ12" s="397" t="s">
        <v>107</v>
      </c>
      <c r="CK12" s="398" t="s">
        <v>108</v>
      </c>
      <c r="CL12" s="397" t="s">
        <v>97</v>
      </c>
      <c r="CM12" s="397" t="s">
        <v>98</v>
      </c>
      <c r="CN12" s="397" t="s">
        <v>99</v>
      </c>
      <c r="CO12" s="397" t="s">
        <v>100</v>
      </c>
      <c r="CP12" s="397" t="s">
        <v>101</v>
      </c>
      <c r="CQ12" s="397" t="s">
        <v>102</v>
      </c>
      <c r="CR12" s="397" t="s">
        <v>103</v>
      </c>
      <c r="CS12" s="397" t="s">
        <v>104</v>
      </c>
      <c r="CT12" s="397" t="s">
        <v>105</v>
      </c>
      <c r="CU12" s="397" t="s">
        <v>106</v>
      </c>
      <c r="CV12" s="397" t="s">
        <v>107</v>
      </c>
      <c r="CW12" s="398" t="s">
        <v>108</v>
      </c>
      <c r="CX12" s="397" t="s">
        <v>97</v>
      </c>
      <c r="CY12" s="397" t="s">
        <v>98</v>
      </c>
      <c r="CZ12" s="397" t="s">
        <v>99</v>
      </c>
      <c r="DA12" s="397" t="s">
        <v>100</v>
      </c>
      <c r="DB12" s="397" t="s">
        <v>101</v>
      </c>
      <c r="DC12" s="397" t="s">
        <v>102</v>
      </c>
      <c r="DD12" s="397" t="s">
        <v>103</v>
      </c>
      <c r="DE12" s="397" t="s">
        <v>104</v>
      </c>
      <c r="DF12" s="397" t="s">
        <v>105</v>
      </c>
      <c r="DG12" s="397" t="s">
        <v>106</v>
      </c>
      <c r="DH12" s="397" t="s">
        <v>107</v>
      </c>
      <c r="DI12" s="398" t="s">
        <v>108</v>
      </c>
      <c r="DJ12" s="397" t="s">
        <v>97</v>
      </c>
      <c r="DK12" s="397" t="s">
        <v>98</v>
      </c>
      <c r="DL12" s="397" t="s">
        <v>99</v>
      </c>
      <c r="DM12" s="397" t="s">
        <v>100</v>
      </c>
      <c r="DN12" s="397" t="s">
        <v>101</v>
      </c>
      <c r="DO12" s="397" t="s">
        <v>102</v>
      </c>
      <c r="DP12" s="397" t="s">
        <v>103</v>
      </c>
      <c r="DQ12" s="397" t="s">
        <v>104</v>
      </c>
      <c r="DR12" s="397" t="s">
        <v>105</v>
      </c>
      <c r="DS12" s="397" t="s">
        <v>106</v>
      </c>
      <c r="DT12" s="397" t="s">
        <v>107</v>
      </c>
      <c r="DU12" s="398" t="s">
        <v>108</v>
      </c>
    </row>
    <row r="13" spans="3:125" x14ac:dyDescent="0.25">
      <c r="C13" s="793">
        <v>1</v>
      </c>
      <c r="D13" s="172" t="s">
        <v>111</v>
      </c>
      <c r="E13" s="173">
        <v>0.78</v>
      </c>
      <c r="F13" s="19">
        <f>$E$13*F7</f>
        <v>57.973344000000012</v>
      </c>
      <c r="G13" s="19">
        <f t="shared" ref="G13:BR13" si="13">$C$13*$E$13*G7</f>
        <v>70.452911807335212</v>
      </c>
      <c r="H13" s="19">
        <f t="shared" si="13"/>
        <v>81.593830817498997</v>
      </c>
      <c r="I13" s="19">
        <f t="shared" si="13"/>
        <v>56.916719346000832</v>
      </c>
      <c r="J13" s="19">
        <f t="shared" si="13"/>
        <v>56.916719346000832</v>
      </c>
      <c r="K13" s="19">
        <f t="shared" si="13"/>
        <v>73.762832000000031</v>
      </c>
      <c r="L13" s="19">
        <f t="shared" si="13"/>
        <v>81.86426491383169</v>
      </c>
      <c r="M13" s="19">
        <f t="shared" si="13"/>
        <v>87.315202211666289</v>
      </c>
      <c r="N13" s="19">
        <f t="shared" si="13"/>
        <v>87.728821509500889</v>
      </c>
      <c r="O13" s="19">
        <f t="shared" si="13"/>
        <v>81.86426491383169</v>
      </c>
      <c r="P13" s="19">
        <f t="shared" si="13"/>
        <v>78.155454423332031</v>
      </c>
      <c r="Q13" s="605">
        <f t="shared" si="13"/>
        <v>69.320951932832628</v>
      </c>
      <c r="R13" s="19">
        <f t="shared" si="13"/>
        <v>103.63795728000001</v>
      </c>
      <c r="S13" s="19">
        <f t="shared" si="13"/>
        <v>93.351049833848691</v>
      </c>
      <c r="T13" s="19">
        <f t="shared" si="13"/>
        <v>74.627715642123945</v>
      </c>
      <c r="U13" s="19">
        <f t="shared" si="13"/>
        <v>55.542479500220871</v>
      </c>
      <c r="V13" s="19">
        <f t="shared" si="13"/>
        <v>55.542479500220871</v>
      </c>
      <c r="W13" s="19">
        <f t="shared" si="13"/>
        <v>70.731014640000012</v>
      </c>
      <c r="X13" s="19">
        <f t="shared" si="13"/>
        <v>84.269397127799607</v>
      </c>
      <c r="Y13" s="19">
        <f t="shared" si="13"/>
        <v>87.832455716482627</v>
      </c>
      <c r="Z13" s="19">
        <f t="shared" si="13"/>
        <v>92.482956375165656</v>
      </c>
      <c r="AA13" s="19">
        <f t="shared" si="13"/>
        <v>84.269397127799607</v>
      </c>
      <c r="AB13" s="19">
        <f t="shared" si="13"/>
        <v>73.539917032965249</v>
      </c>
      <c r="AC13" s="605">
        <f t="shared" si="13"/>
        <v>69.855170348130898</v>
      </c>
      <c r="AD13" s="606">
        <f t="shared" si="13"/>
        <v>110.89261428960005</v>
      </c>
      <c r="AE13" s="19">
        <f t="shared" si="13"/>
        <v>99.885623322218109</v>
      </c>
      <c r="AF13" s="19">
        <f t="shared" si="13"/>
        <v>79.851655737072633</v>
      </c>
      <c r="AG13" s="19">
        <f t="shared" si="13"/>
        <v>59.430453065236328</v>
      </c>
      <c r="AH13" s="19">
        <f t="shared" si="13"/>
        <v>59.430453065236328</v>
      </c>
      <c r="AI13" s="19">
        <f t="shared" si="13"/>
        <v>75.682185664800031</v>
      </c>
      <c r="AJ13" s="19">
        <f t="shared" si="13"/>
        <v>90.16825492674559</v>
      </c>
      <c r="AK13" s="19">
        <f t="shared" si="13"/>
        <v>93.980727616636429</v>
      </c>
      <c r="AL13" s="19">
        <f t="shared" si="13"/>
        <v>98.95676332142726</v>
      </c>
      <c r="AM13" s="19">
        <f t="shared" si="13"/>
        <v>90.16825492674559</v>
      </c>
      <c r="AN13" s="19">
        <f t="shared" si="13"/>
        <v>78.687711225272821</v>
      </c>
      <c r="AO13" s="19">
        <f t="shared" si="13"/>
        <v>74.745032272500069</v>
      </c>
      <c r="AP13" s="19">
        <f t="shared" si="13"/>
        <v>118.65509728987205</v>
      </c>
      <c r="AQ13" s="19">
        <f t="shared" si="13"/>
        <v>106.87761695477339</v>
      </c>
      <c r="AR13" s="19">
        <f t="shared" si="13"/>
        <v>85.441271638667729</v>
      </c>
      <c r="AS13" s="19">
        <f t="shared" si="13"/>
        <v>63.590584779802889</v>
      </c>
      <c r="AT13" s="19">
        <f t="shared" si="13"/>
        <v>63.590584779802889</v>
      </c>
      <c r="AU13" s="19">
        <f t="shared" si="13"/>
        <v>80.979938661336035</v>
      </c>
      <c r="AV13" s="19">
        <f t="shared" si="13"/>
        <v>96.4800327716178</v>
      </c>
      <c r="AW13" s="19">
        <f t="shared" si="13"/>
        <v>100.55937854980098</v>
      </c>
      <c r="AX13" s="19">
        <f t="shared" si="13"/>
        <v>105.88373675392718</v>
      </c>
      <c r="AY13" s="19">
        <f t="shared" si="13"/>
        <v>96.4800327716178</v>
      </c>
      <c r="AZ13" s="19">
        <f t="shared" si="13"/>
        <v>84.195851011041938</v>
      </c>
      <c r="BA13" s="19">
        <f t="shared" si="13"/>
        <v>79.977184531575091</v>
      </c>
      <c r="BB13" s="19">
        <f t="shared" si="13"/>
        <v>126.96095410016311</v>
      </c>
      <c r="BC13" s="19">
        <f t="shared" si="13"/>
        <v>114.35905014160753</v>
      </c>
      <c r="BD13" s="19">
        <f t="shared" si="13"/>
        <v>91.422160653374476</v>
      </c>
      <c r="BE13" s="19">
        <f t="shared" si="13"/>
        <v>68.041925714389095</v>
      </c>
      <c r="BF13" s="19">
        <f t="shared" si="13"/>
        <v>68.041925714389095</v>
      </c>
      <c r="BG13" s="19">
        <f t="shared" si="13"/>
        <v>86.648534367629566</v>
      </c>
      <c r="BH13" s="19">
        <f t="shared" si="13"/>
        <v>103.23363506563103</v>
      </c>
      <c r="BI13" s="19">
        <f t="shared" si="13"/>
        <v>107.59853504828708</v>
      </c>
      <c r="BJ13" s="19">
        <f t="shared" si="13"/>
        <v>113.29559832670209</v>
      </c>
      <c r="BK13" s="19">
        <f t="shared" si="13"/>
        <v>103.23363506563103</v>
      </c>
      <c r="BL13" s="19">
        <f t="shared" si="13"/>
        <v>90.089560581814865</v>
      </c>
      <c r="BM13" s="19">
        <f t="shared" si="13"/>
        <v>85.575587448785342</v>
      </c>
      <c r="BN13" s="19">
        <f t="shared" si="13"/>
        <v>135.84822088717451</v>
      </c>
      <c r="BO13" s="19">
        <f t="shared" si="13"/>
        <v>122.36418365152007</v>
      </c>
      <c r="BP13" s="19">
        <f t="shared" si="13"/>
        <v>97.821711899110696</v>
      </c>
      <c r="BQ13" s="19">
        <f t="shared" si="13"/>
        <v>72.804860514396339</v>
      </c>
      <c r="BR13" s="19">
        <f t="shared" si="13"/>
        <v>72.804860514396339</v>
      </c>
      <c r="BS13" s="19">
        <f t="shared" ref="BS13:DU13" si="14">$C$13*$E$13*BS7</f>
        <v>92.71393177336364</v>
      </c>
      <c r="BT13" s="19">
        <f t="shared" si="14"/>
        <v>110.45998952022524</v>
      </c>
      <c r="BU13" s="19">
        <f t="shared" si="14"/>
        <v>115.13043250166717</v>
      </c>
      <c r="BV13" s="19">
        <f t="shared" si="14"/>
        <v>121.22629020957125</v>
      </c>
      <c r="BW13" s="19">
        <f t="shared" si="14"/>
        <v>110.45998952022524</v>
      </c>
      <c r="BX13" s="19">
        <f t="shared" si="14"/>
        <v>96.395829822541927</v>
      </c>
      <c r="BY13" s="19">
        <f t="shared" si="14"/>
        <v>91.565878570200326</v>
      </c>
      <c r="BZ13" s="19">
        <f t="shared" si="14"/>
        <v>145.35759634927675</v>
      </c>
      <c r="CA13" s="19">
        <f t="shared" si="14"/>
        <v>130.92967650712649</v>
      </c>
      <c r="CB13" s="19">
        <f t="shared" si="14"/>
        <v>104.66923173204846</v>
      </c>
      <c r="CC13" s="19">
        <f t="shared" si="14"/>
        <v>77.901200750404087</v>
      </c>
      <c r="CD13" s="19">
        <f t="shared" si="14"/>
        <v>77.901200750404087</v>
      </c>
      <c r="CE13" s="19">
        <f t="shared" si="14"/>
        <v>99.203906997499104</v>
      </c>
      <c r="CF13" s="19">
        <f t="shared" si="14"/>
        <v>118.19218878664101</v>
      </c>
      <c r="CG13" s="19">
        <f t="shared" si="14"/>
        <v>123.18956277678389</v>
      </c>
      <c r="CH13" s="19">
        <f t="shared" si="14"/>
        <v>129.71213052424125</v>
      </c>
      <c r="CI13" s="19">
        <f t="shared" si="14"/>
        <v>118.19218878664101</v>
      </c>
      <c r="CJ13" s="19">
        <f t="shared" si="14"/>
        <v>103.14353791011986</v>
      </c>
      <c r="CK13" s="19">
        <f t="shared" si="14"/>
        <v>97.975490070114361</v>
      </c>
      <c r="CL13" s="19">
        <f t="shared" si="14"/>
        <v>155.53262809372615</v>
      </c>
      <c r="CM13" s="19">
        <f t="shared" si="14"/>
        <v>140.09475386262537</v>
      </c>
      <c r="CN13" s="19">
        <f t="shared" si="14"/>
        <v>111.99607795329186</v>
      </c>
      <c r="CO13" s="19">
        <f t="shared" si="14"/>
        <v>83.354284802932384</v>
      </c>
      <c r="CP13" s="19">
        <f t="shared" si="14"/>
        <v>83.354284802932384</v>
      </c>
      <c r="CQ13" s="19">
        <f t="shared" si="14"/>
        <v>106.14818048732404</v>
      </c>
      <c r="CR13" s="19">
        <f t="shared" si="14"/>
        <v>126.46564200170587</v>
      </c>
      <c r="CS13" s="19">
        <f t="shared" si="14"/>
        <v>131.81283217115876</v>
      </c>
      <c r="CT13" s="19">
        <f t="shared" si="14"/>
        <v>138.79197966093815</v>
      </c>
      <c r="CU13" s="19">
        <f t="shared" si="14"/>
        <v>126.46564200170587</v>
      </c>
      <c r="CV13" s="19">
        <f t="shared" si="14"/>
        <v>110.36358556382827</v>
      </c>
      <c r="CW13" s="19">
        <f t="shared" si="14"/>
        <v>104.83377437502237</v>
      </c>
      <c r="CX13" s="19">
        <f t="shared" si="14"/>
        <v>166.419912060287</v>
      </c>
      <c r="CY13" s="19">
        <f t="shared" si="14"/>
        <v>149.90138663300911</v>
      </c>
      <c r="CZ13" s="19">
        <f t="shared" si="14"/>
        <v>119.83580341002228</v>
      </c>
      <c r="DA13" s="19">
        <f t="shared" si="14"/>
        <v>89.189084739137641</v>
      </c>
      <c r="DB13" s="19">
        <f t="shared" si="14"/>
        <v>89.189084739137641</v>
      </c>
      <c r="DC13" s="19">
        <f t="shared" si="14"/>
        <v>113.57855312143674</v>
      </c>
      <c r="DD13" s="19">
        <f t="shared" si="14"/>
        <v>135.31823694182529</v>
      </c>
      <c r="DE13" s="19">
        <f t="shared" si="14"/>
        <v>141.03973042313987</v>
      </c>
      <c r="DF13" s="19">
        <f t="shared" si="14"/>
        <v>148.50741823720381</v>
      </c>
      <c r="DG13" s="19">
        <f t="shared" si="14"/>
        <v>135.31823694182529</v>
      </c>
      <c r="DH13" s="19">
        <f t="shared" si="14"/>
        <v>118.08903655329625</v>
      </c>
      <c r="DI13" s="19">
        <f t="shared" si="14"/>
        <v>112.17213858127396</v>
      </c>
      <c r="DJ13" s="19">
        <f t="shared" si="14"/>
        <v>178.06930590450708</v>
      </c>
      <c r="DK13" s="19">
        <f t="shared" si="14"/>
        <v>160.39448369731974</v>
      </c>
      <c r="DL13" s="19">
        <f t="shared" si="14"/>
        <v>128.22430964872385</v>
      </c>
      <c r="DM13" s="19">
        <f t="shared" si="14"/>
        <v>95.432320670877274</v>
      </c>
      <c r="DN13" s="19">
        <f t="shared" si="14"/>
        <v>95.432320670877274</v>
      </c>
      <c r="DO13" s="19">
        <f t="shared" si="14"/>
        <v>121.52905183993731</v>
      </c>
      <c r="DP13" s="19">
        <f t="shared" si="14"/>
        <v>144.79051352775306</v>
      </c>
      <c r="DQ13" s="19">
        <f t="shared" si="14"/>
        <v>150.91251155275967</v>
      </c>
      <c r="DR13" s="19">
        <f t="shared" si="14"/>
        <v>158.9029375138081</v>
      </c>
      <c r="DS13" s="19">
        <f t="shared" si="14"/>
        <v>144.79051352775306</v>
      </c>
      <c r="DT13" s="19">
        <f t="shared" si="14"/>
        <v>126.35526911202697</v>
      </c>
      <c r="DU13" s="19">
        <f t="shared" si="14"/>
        <v>120.02418828196312</v>
      </c>
    </row>
    <row r="14" spans="3:125" ht="11.25" customHeight="1" x14ac:dyDescent="0.25">
      <c r="C14" s="794"/>
      <c r="D14" s="400" t="s">
        <v>112</v>
      </c>
      <c r="E14" s="173">
        <v>0.22</v>
      </c>
      <c r="F14" s="19">
        <f>$C$13*$E$14*F7</f>
        <v>16.351456000000002</v>
      </c>
      <c r="G14" s="19">
        <f t="shared" ref="G14:BR14" si="15">$C$13*$E$14*G7</f>
        <v>19.8713340995048</v>
      </c>
      <c r="H14" s="19">
        <f t="shared" si="15"/>
        <v>23.013644589550999</v>
      </c>
      <c r="I14" s="19">
        <f t="shared" si="15"/>
        <v>16.053433661692541</v>
      </c>
      <c r="J14" s="19">
        <f t="shared" si="15"/>
        <v>16.053433661692541</v>
      </c>
      <c r="K14" s="19">
        <f t="shared" si="15"/>
        <v>20.804901333333344</v>
      </c>
      <c r="L14" s="19">
        <f t="shared" si="15"/>
        <v>23.089920873132016</v>
      </c>
      <c r="M14" s="19">
        <f t="shared" si="15"/>
        <v>24.627364726367414</v>
      </c>
      <c r="N14" s="19">
        <f t="shared" si="15"/>
        <v>24.744026579602817</v>
      </c>
      <c r="O14" s="19">
        <f t="shared" si="15"/>
        <v>23.089920873132016</v>
      </c>
      <c r="P14" s="19">
        <f t="shared" si="15"/>
        <v>22.043846119401341</v>
      </c>
      <c r="Q14" s="605">
        <f t="shared" si="15"/>
        <v>19.55206336567074</v>
      </c>
      <c r="R14" s="607">
        <f t="shared" si="15"/>
        <v>29.231218720000001</v>
      </c>
      <c r="S14" s="19">
        <f t="shared" si="15"/>
        <v>26.329783286470143</v>
      </c>
      <c r="T14" s="19">
        <f t="shared" si="15"/>
        <v>21.048842873419574</v>
      </c>
      <c r="U14" s="19">
        <f t="shared" si="15"/>
        <v>15.665827551344346</v>
      </c>
      <c r="V14" s="19">
        <f t="shared" si="15"/>
        <v>15.665827551344346</v>
      </c>
      <c r="W14" s="19">
        <f t="shared" si="15"/>
        <v>19.949773360000005</v>
      </c>
      <c r="X14" s="19">
        <f t="shared" si="15"/>
        <v>23.768291497584503</v>
      </c>
      <c r="Y14" s="19">
        <f t="shared" si="15"/>
        <v>24.773256740546383</v>
      </c>
      <c r="Z14" s="19">
        <f t="shared" si="15"/>
        <v>26.084936413508263</v>
      </c>
      <c r="AA14" s="19">
        <f t="shared" si="15"/>
        <v>23.768291497584503</v>
      </c>
      <c r="AB14" s="19">
        <f t="shared" si="15"/>
        <v>20.74202788109276</v>
      </c>
      <c r="AC14" s="605">
        <f t="shared" si="15"/>
        <v>19.702740354601023</v>
      </c>
      <c r="AD14" s="606">
        <f t="shared" si="15"/>
        <v>31.27740403040001</v>
      </c>
      <c r="AE14" s="19">
        <f t="shared" si="15"/>
        <v>28.172868116523055</v>
      </c>
      <c r="AF14" s="19">
        <f t="shared" si="15"/>
        <v>22.52226187455895</v>
      </c>
      <c r="AG14" s="19">
        <f t="shared" si="15"/>
        <v>16.762435479938453</v>
      </c>
      <c r="AH14" s="19">
        <f t="shared" si="15"/>
        <v>16.762435479938453</v>
      </c>
      <c r="AI14" s="19">
        <f t="shared" si="15"/>
        <v>21.346257495200007</v>
      </c>
      <c r="AJ14" s="19">
        <f t="shared" si="15"/>
        <v>25.432071902415423</v>
      </c>
      <c r="AK14" s="19">
        <f t="shared" si="15"/>
        <v>26.507384712384631</v>
      </c>
      <c r="AL14" s="19">
        <f t="shared" si="15"/>
        <v>27.910881962453843</v>
      </c>
      <c r="AM14" s="19">
        <f t="shared" si="15"/>
        <v>25.432071902415423</v>
      </c>
      <c r="AN14" s="19">
        <f t="shared" si="15"/>
        <v>22.193969832769255</v>
      </c>
      <c r="AO14" s="19">
        <f t="shared" si="15"/>
        <v>21.081932179423095</v>
      </c>
      <c r="AP14" s="19">
        <f t="shared" si="15"/>
        <v>33.466822312528009</v>
      </c>
      <c r="AQ14" s="19">
        <f t="shared" si="15"/>
        <v>30.144968884679674</v>
      </c>
      <c r="AR14" s="19">
        <f t="shared" si="15"/>
        <v>24.098820205778075</v>
      </c>
      <c r="AS14" s="19">
        <f t="shared" si="15"/>
        <v>17.935805963534147</v>
      </c>
      <c r="AT14" s="19">
        <f t="shared" si="15"/>
        <v>17.935805963534147</v>
      </c>
      <c r="AU14" s="19">
        <f t="shared" si="15"/>
        <v>22.84049551986401</v>
      </c>
      <c r="AV14" s="19">
        <f t="shared" si="15"/>
        <v>27.212316935584507</v>
      </c>
      <c r="AW14" s="19">
        <f t="shared" si="15"/>
        <v>28.362901642251558</v>
      </c>
      <c r="AX14" s="19">
        <f t="shared" si="15"/>
        <v>29.864643699825614</v>
      </c>
      <c r="AY14" s="19">
        <f t="shared" si="15"/>
        <v>27.212316935584507</v>
      </c>
      <c r="AZ14" s="19">
        <f t="shared" si="15"/>
        <v>23.747547721063107</v>
      </c>
      <c r="BA14" s="19">
        <f t="shared" si="15"/>
        <v>22.557667431982715</v>
      </c>
      <c r="BB14" s="19">
        <f t="shared" si="15"/>
        <v>35.809499874404978</v>
      </c>
      <c r="BC14" s="19">
        <f t="shared" si="15"/>
        <v>32.255116706607254</v>
      </c>
      <c r="BD14" s="19">
        <f t="shared" si="15"/>
        <v>25.785737620182545</v>
      </c>
      <c r="BE14" s="19">
        <f t="shared" si="15"/>
        <v>19.191312380981536</v>
      </c>
      <c r="BF14" s="19">
        <f t="shared" si="15"/>
        <v>19.191312380981536</v>
      </c>
      <c r="BG14" s="19">
        <f t="shared" si="15"/>
        <v>24.439330206254493</v>
      </c>
      <c r="BH14" s="19">
        <f t="shared" si="15"/>
        <v>29.11717912107542</v>
      </c>
      <c r="BI14" s="19">
        <f t="shared" si="15"/>
        <v>30.348304757209174</v>
      </c>
      <c r="BJ14" s="19">
        <f t="shared" si="15"/>
        <v>31.955168758813407</v>
      </c>
      <c r="BK14" s="19">
        <f t="shared" si="15"/>
        <v>29.11717912107542</v>
      </c>
      <c r="BL14" s="19">
        <f t="shared" si="15"/>
        <v>25.409876061537528</v>
      </c>
      <c r="BM14" s="19">
        <f t="shared" si="15"/>
        <v>24.136704152221508</v>
      </c>
      <c r="BN14" s="19">
        <f t="shared" si="15"/>
        <v>38.316164865613324</v>
      </c>
      <c r="BO14" s="19">
        <f t="shared" si="15"/>
        <v>34.512974876069762</v>
      </c>
      <c r="BP14" s="19">
        <f t="shared" si="15"/>
        <v>27.590739253595324</v>
      </c>
      <c r="BQ14" s="19">
        <f t="shared" si="15"/>
        <v>20.534704247650247</v>
      </c>
      <c r="BR14" s="19">
        <f t="shared" si="15"/>
        <v>20.534704247650247</v>
      </c>
      <c r="BS14" s="19">
        <f t="shared" ref="BS14:DU14" si="16">$C$13*$E$14*BS7</f>
        <v>26.150083320692307</v>
      </c>
      <c r="BT14" s="19">
        <f t="shared" si="16"/>
        <v>31.155381659550706</v>
      </c>
      <c r="BU14" s="19">
        <f t="shared" si="16"/>
        <v>32.47268609021382</v>
      </c>
      <c r="BV14" s="19">
        <f t="shared" si="16"/>
        <v>34.192030571930353</v>
      </c>
      <c r="BW14" s="19">
        <f t="shared" si="16"/>
        <v>31.155381659550706</v>
      </c>
      <c r="BX14" s="19">
        <f t="shared" si="16"/>
        <v>27.188567385845158</v>
      </c>
      <c r="BY14" s="19">
        <f t="shared" si="16"/>
        <v>25.826273442877014</v>
      </c>
      <c r="BZ14" s="19">
        <f t="shared" si="16"/>
        <v>40.998296406206265</v>
      </c>
      <c r="CA14" s="19">
        <f t="shared" si="16"/>
        <v>36.928883117394648</v>
      </c>
      <c r="CB14" s="19">
        <f t="shared" si="16"/>
        <v>29.522091001347</v>
      </c>
      <c r="CC14" s="19">
        <f t="shared" si="16"/>
        <v>21.972133544985766</v>
      </c>
      <c r="CD14" s="19">
        <f t="shared" si="16"/>
        <v>21.972133544985766</v>
      </c>
      <c r="CE14" s="19">
        <f t="shared" si="16"/>
        <v>27.980589153140773</v>
      </c>
      <c r="CF14" s="19">
        <f t="shared" si="16"/>
        <v>33.336258375719261</v>
      </c>
      <c r="CG14" s="19">
        <f t="shared" si="16"/>
        <v>34.745774116528786</v>
      </c>
      <c r="CH14" s="19">
        <f t="shared" si="16"/>
        <v>36.58547271196548</v>
      </c>
      <c r="CI14" s="19">
        <f t="shared" si="16"/>
        <v>33.336258375719261</v>
      </c>
      <c r="CJ14" s="19">
        <f t="shared" si="16"/>
        <v>29.09176710285432</v>
      </c>
      <c r="CK14" s="19">
        <f t="shared" si="16"/>
        <v>27.634112583878409</v>
      </c>
      <c r="CL14" s="19">
        <f t="shared" si="16"/>
        <v>43.868177154640705</v>
      </c>
      <c r="CM14" s="19">
        <f t="shared" si="16"/>
        <v>39.513904935612281</v>
      </c>
      <c r="CN14" s="19">
        <f t="shared" si="16"/>
        <v>31.58863737144129</v>
      </c>
      <c r="CO14" s="19">
        <f t="shared" si="16"/>
        <v>23.510182893134772</v>
      </c>
      <c r="CP14" s="19">
        <f t="shared" si="16"/>
        <v>23.510182893134772</v>
      </c>
      <c r="CQ14" s="19">
        <f t="shared" si="16"/>
        <v>29.939230393860626</v>
      </c>
      <c r="CR14" s="19">
        <f t="shared" si="16"/>
        <v>35.669796462019605</v>
      </c>
      <c r="CS14" s="19">
        <f t="shared" si="16"/>
        <v>37.177978304685809</v>
      </c>
      <c r="CT14" s="19">
        <f t="shared" si="16"/>
        <v>39.146455801803064</v>
      </c>
      <c r="CU14" s="19">
        <f t="shared" si="16"/>
        <v>35.669796462019605</v>
      </c>
      <c r="CV14" s="19">
        <f t="shared" si="16"/>
        <v>31.128190800054128</v>
      </c>
      <c r="CW14" s="19">
        <f t="shared" si="16"/>
        <v>29.568500464749899</v>
      </c>
      <c r="CX14" s="19">
        <f t="shared" si="16"/>
        <v>46.938949555465562</v>
      </c>
      <c r="CY14" s="19">
        <f t="shared" si="16"/>
        <v>42.279878281105134</v>
      </c>
      <c r="CZ14" s="19">
        <f t="shared" si="16"/>
        <v>33.799841987442178</v>
      </c>
      <c r="DA14" s="19">
        <f t="shared" si="16"/>
        <v>25.155895695654205</v>
      </c>
      <c r="DB14" s="19">
        <f t="shared" si="16"/>
        <v>25.155895695654205</v>
      </c>
      <c r="DC14" s="19">
        <f t="shared" si="16"/>
        <v>32.03497652143087</v>
      </c>
      <c r="DD14" s="19">
        <f t="shared" si="16"/>
        <v>38.166682214360982</v>
      </c>
      <c r="DE14" s="19">
        <f t="shared" si="16"/>
        <v>39.780436786013809</v>
      </c>
      <c r="DF14" s="19">
        <f t="shared" si="16"/>
        <v>41.886707707929276</v>
      </c>
      <c r="DG14" s="19">
        <f t="shared" si="16"/>
        <v>38.166682214360982</v>
      </c>
      <c r="DH14" s="19">
        <f t="shared" si="16"/>
        <v>33.307164156057915</v>
      </c>
      <c r="DI14" s="19">
        <f t="shared" si="16"/>
        <v>31.638295497282396</v>
      </c>
      <c r="DJ14" s="19">
        <f t="shared" si="16"/>
        <v>50.224676024348142</v>
      </c>
      <c r="DK14" s="19">
        <f t="shared" si="16"/>
        <v>45.239469760782491</v>
      </c>
      <c r="DL14" s="19">
        <f t="shared" si="16"/>
        <v>36.165830926563139</v>
      </c>
      <c r="DM14" s="19">
        <f t="shared" si="16"/>
        <v>26.916808394349999</v>
      </c>
      <c r="DN14" s="19">
        <f t="shared" si="16"/>
        <v>26.916808394349999</v>
      </c>
      <c r="DO14" s="19">
        <f t="shared" si="16"/>
        <v>34.27742487793104</v>
      </c>
      <c r="DP14" s="19">
        <f t="shared" si="16"/>
        <v>40.838349969366249</v>
      </c>
      <c r="DQ14" s="19">
        <f t="shared" si="16"/>
        <v>42.565067361034778</v>
      </c>
      <c r="DR14" s="19">
        <f t="shared" si="16"/>
        <v>44.818777247484334</v>
      </c>
      <c r="DS14" s="19">
        <f t="shared" si="16"/>
        <v>40.838349969366249</v>
      </c>
      <c r="DT14" s="19">
        <f t="shared" si="16"/>
        <v>35.63866564698197</v>
      </c>
      <c r="DU14" s="19">
        <f t="shared" si="16"/>
        <v>33.852976182092164</v>
      </c>
    </row>
    <row r="15" spans="3:125" x14ac:dyDescent="0.25">
      <c r="D15" s="164"/>
      <c r="E15" s="165"/>
      <c r="F15" s="165"/>
      <c r="G15" s="165"/>
      <c r="H15" s="165"/>
      <c r="I15" s="165"/>
      <c r="J15" s="165"/>
      <c r="K15" s="165"/>
      <c r="L15" s="165"/>
      <c r="M15" s="165"/>
      <c r="N15" s="165"/>
      <c r="O15" s="165"/>
      <c r="P15" s="165"/>
      <c r="Q15" s="165"/>
      <c r="R15" s="16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</row>
    <row r="16" spans="3:125" ht="15" customHeight="1" x14ac:dyDescent="0.25">
      <c r="D16" s="784" t="s">
        <v>113</v>
      </c>
      <c r="E16" s="785"/>
      <c r="F16" s="166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784" t="s">
        <v>28</v>
      </c>
      <c r="S16" s="785"/>
      <c r="T16" s="166"/>
      <c r="U16" s="25"/>
      <c r="V16" s="25"/>
      <c r="W16" s="25"/>
      <c r="X16" s="25"/>
      <c r="Y16" s="25"/>
      <c r="Z16" s="25"/>
      <c r="AA16" s="25"/>
      <c r="AB16" s="25"/>
      <c r="AC16" s="25"/>
      <c r="AD16" s="784" t="s">
        <v>28</v>
      </c>
      <c r="AE16" s="785"/>
      <c r="AF16" s="166"/>
      <c r="AG16" s="25"/>
      <c r="AH16" s="25"/>
      <c r="AI16" s="25"/>
      <c r="AJ16" s="25"/>
      <c r="AK16" s="25"/>
      <c r="AL16" s="25"/>
      <c r="AM16" s="25"/>
      <c r="AN16" s="25"/>
      <c r="AO16" s="25"/>
      <c r="AP16" s="784" t="s">
        <v>113</v>
      </c>
      <c r="AQ16" s="785"/>
      <c r="AR16" s="166"/>
      <c r="AS16" s="25"/>
      <c r="AT16" s="25"/>
      <c r="AU16" s="25"/>
      <c r="AV16" s="25"/>
      <c r="AW16" s="25"/>
      <c r="AX16" s="25"/>
      <c r="AY16" s="25"/>
      <c r="AZ16" s="25"/>
      <c r="BA16" s="25"/>
      <c r="BB16" s="784" t="s">
        <v>113</v>
      </c>
      <c r="BC16" s="785"/>
      <c r="BD16" s="166"/>
      <c r="BE16" s="25"/>
      <c r="BF16" s="25"/>
      <c r="BG16" s="25"/>
      <c r="BH16" s="25"/>
      <c r="BI16" s="25"/>
      <c r="BJ16" s="25"/>
      <c r="BK16" s="25"/>
      <c r="BL16" s="25"/>
      <c r="BM16" s="25"/>
      <c r="BN16" s="784" t="s">
        <v>28</v>
      </c>
      <c r="BO16" s="785"/>
      <c r="BP16" s="166"/>
      <c r="BQ16" s="25"/>
      <c r="BR16" s="25"/>
      <c r="BS16" s="25"/>
      <c r="BT16" s="25"/>
      <c r="BU16" s="25"/>
      <c r="BV16" s="25"/>
      <c r="BW16" s="25"/>
      <c r="BX16" s="25"/>
      <c r="BY16" s="25"/>
      <c r="BZ16" s="784" t="s">
        <v>113</v>
      </c>
      <c r="CA16" s="785"/>
      <c r="CB16" s="166"/>
      <c r="CC16" s="25"/>
      <c r="CD16" s="25"/>
      <c r="CE16" s="25"/>
      <c r="CF16" s="25"/>
      <c r="CG16" s="25"/>
      <c r="CH16" s="25"/>
      <c r="CI16" s="25"/>
      <c r="CJ16" s="25"/>
      <c r="CK16" s="25"/>
      <c r="CL16" s="784" t="s">
        <v>113</v>
      </c>
      <c r="CM16" s="785"/>
      <c r="CN16" s="166"/>
      <c r="CO16" s="25"/>
      <c r="CP16" s="25"/>
      <c r="CQ16" s="25"/>
      <c r="CR16" s="25"/>
      <c r="CS16" s="25"/>
      <c r="CT16" s="25"/>
      <c r="CU16" s="25"/>
      <c r="CV16" s="25"/>
      <c r="CW16" s="25"/>
      <c r="CX16" s="784" t="s">
        <v>28</v>
      </c>
      <c r="CY16" s="785"/>
      <c r="CZ16" s="166"/>
      <c r="DA16" s="25"/>
      <c r="DB16" s="25"/>
      <c r="DC16" s="25"/>
      <c r="DD16" s="25"/>
      <c r="DE16" s="25"/>
      <c r="DF16" s="25"/>
      <c r="DG16" s="25"/>
      <c r="DH16" s="25"/>
      <c r="DI16" s="25"/>
      <c r="DJ16" s="784" t="s">
        <v>28</v>
      </c>
      <c r="DK16" s="785"/>
      <c r="DL16" s="166"/>
      <c r="DM16" s="25"/>
      <c r="DN16" s="25"/>
      <c r="DO16" s="25"/>
      <c r="DP16" s="25"/>
      <c r="DQ16" s="25"/>
      <c r="DR16" s="25"/>
      <c r="DS16" s="25"/>
      <c r="DT16" s="25"/>
      <c r="DU16" s="25"/>
    </row>
    <row r="17" spans="3:126" ht="15" customHeight="1" x14ac:dyDescent="0.25">
      <c r="D17" s="166"/>
      <c r="E17" s="166"/>
      <c r="F17" s="166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166"/>
      <c r="S17" s="166"/>
      <c r="T17" s="166"/>
      <c r="U17" s="25"/>
      <c r="V17" s="25"/>
      <c r="W17" s="25"/>
      <c r="X17" s="25"/>
      <c r="Y17" s="25"/>
      <c r="Z17" s="25"/>
      <c r="AA17" s="25"/>
      <c r="AB17" s="25"/>
      <c r="AC17" s="25"/>
      <c r="AD17" s="166"/>
      <c r="AE17" s="166"/>
      <c r="AF17" s="166"/>
      <c r="AG17" s="25"/>
      <c r="AH17" s="25"/>
      <c r="AI17" s="25"/>
      <c r="AJ17" s="25"/>
      <c r="AK17" s="25"/>
      <c r="AL17" s="25"/>
      <c r="AM17" s="25"/>
      <c r="AN17" s="25"/>
      <c r="AO17" s="25"/>
      <c r="AP17" s="166"/>
      <c r="AQ17" s="166"/>
      <c r="AR17" s="166"/>
      <c r="AS17" s="25"/>
      <c r="AT17" s="25"/>
      <c r="AU17" s="25"/>
      <c r="AV17" s="25"/>
      <c r="AW17" s="25"/>
      <c r="AX17" s="25"/>
      <c r="AY17" s="25"/>
      <c r="AZ17" s="25"/>
      <c r="BA17" s="25"/>
      <c r="BB17" s="166"/>
      <c r="BC17" s="166"/>
      <c r="BD17" s="166"/>
      <c r="BE17" s="25"/>
      <c r="BF17" s="25"/>
      <c r="BG17" s="25"/>
      <c r="BH17" s="25"/>
      <c r="BI17" s="25"/>
      <c r="BJ17" s="25"/>
      <c r="BK17" s="25"/>
      <c r="BL17" s="25"/>
      <c r="BM17" s="25"/>
      <c r="BN17" s="166"/>
      <c r="BO17" s="166"/>
      <c r="BP17" s="166"/>
      <c r="BQ17" s="25"/>
      <c r="BR17" s="25"/>
      <c r="BS17" s="25"/>
      <c r="BT17" s="25"/>
      <c r="BU17" s="25"/>
      <c r="BV17" s="25"/>
      <c r="BW17" s="25"/>
      <c r="BX17" s="25"/>
      <c r="BY17" s="25"/>
      <c r="BZ17" s="166"/>
      <c r="CA17" s="166"/>
      <c r="CB17" s="166"/>
      <c r="CC17" s="25"/>
      <c r="CD17" s="25"/>
      <c r="CE17" s="25"/>
      <c r="CF17" s="25"/>
      <c r="CG17" s="25"/>
      <c r="CH17" s="25"/>
      <c r="CI17" s="25"/>
      <c r="CJ17" s="25"/>
      <c r="CK17" s="25"/>
      <c r="CL17" s="166"/>
      <c r="CM17" s="166"/>
      <c r="CN17" s="166"/>
      <c r="CO17" s="25"/>
      <c r="CP17" s="25"/>
      <c r="CQ17" s="25"/>
      <c r="CR17" s="25"/>
      <c r="CS17" s="25"/>
      <c r="CT17" s="25"/>
      <c r="CU17" s="25"/>
      <c r="CV17" s="25"/>
      <c r="CW17" s="25"/>
      <c r="CX17" s="166"/>
      <c r="CY17" s="166"/>
      <c r="CZ17" s="166"/>
      <c r="DA17" s="25"/>
      <c r="DB17" s="25"/>
      <c r="DC17" s="25"/>
      <c r="DD17" s="25"/>
      <c r="DE17" s="25"/>
      <c r="DF17" s="25"/>
      <c r="DG17" s="25"/>
      <c r="DH17" s="25"/>
      <c r="DI17" s="25"/>
      <c r="DJ17" s="166"/>
      <c r="DK17" s="166"/>
      <c r="DL17" s="166"/>
      <c r="DM17" s="25"/>
      <c r="DN17" s="25"/>
      <c r="DO17" s="25"/>
      <c r="DP17" s="25"/>
      <c r="DQ17" s="25"/>
      <c r="DR17" s="25"/>
      <c r="DS17" s="25"/>
      <c r="DT17" s="25"/>
      <c r="DU17" s="25"/>
    </row>
    <row r="18" spans="3:126" x14ac:dyDescent="0.25">
      <c r="D18" s="399" t="s">
        <v>109</v>
      </c>
      <c r="E18" s="399" t="s">
        <v>110</v>
      </c>
      <c r="F18" s="399" t="s">
        <v>97</v>
      </c>
      <c r="G18" s="399" t="s">
        <v>98</v>
      </c>
      <c r="H18" s="399" t="s">
        <v>99</v>
      </c>
      <c r="I18" s="399" t="s">
        <v>100</v>
      </c>
      <c r="J18" s="399" t="s">
        <v>101</v>
      </c>
      <c r="K18" s="399" t="s">
        <v>102</v>
      </c>
      <c r="L18" s="399" t="s">
        <v>103</v>
      </c>
      <c r="M18" s="399" t="s">
        <v>104</v>
      </c>
      <c r="N18" s="399" t="s">
        <v>105</v>
      </c>
      <c r="O18" s="399" t="s">
        <v>106</v>
      </c>
      <c r="P18" s="399" t="s">
        <v>107</v>
      </c>
      <c r="Q18" s="399" t="s">
        <v>108</v>
      </c>
      <c r="R18" s="399" t="s">
        <v>97</v>
      </c>
      <c r="S18" s="399" t="s">
        <v>98</v>
      </c>
      <c r="T18" s="399" t="s">
        <v>99</v>
      </c>
      <c r="U18" s="399" t="s">
        <v>100</v>
      </c>
      <c r="V18" s="399" t="s">
        <v>101</v>
      </c>
      <c r="W18" s="399" t="s">
        <v>102</v>
      </c>
      <c r="X18" s="399" t="s">
        <v>103</v>
      </c>
      <c r="Y18" s="399" t="s">
        <v>104</v>
      </c>
      <c r="Z18" s="399" t="s">
        <v>105</v>
      </c>
      <c r="AA18" s="399" t="s">
        <v>106</v>
      </c>
      <c r="AB18" s="399" t="s">
        <v>107</v>
      </c>
      <c r="AC18" s="399" t="s">
        <v>108</v>
      </c>
      <c r="AD18" s="399" t="s">
        <v>97</v>
      </c>
      <c r="AE18" s="399" t="s">
        <v>98</v>
      </c>
      <c r="AF18" s="399" t="s">
        <v>99</v>
      </c>
      <c r="AG18" s="399" t="s">
        <v>100</v>
      </c>
      <c r="AH18" s="399" t="s">
        <v>101</v>
      </c>
      <c r="AI18" s="399" t="s">
        <v>102</v>
      </c>
      <c r="AJ18" s="399" t="s">
        <v>103</v>
      </c>
      <c r="AK18" s="399" t="s">
        <v>104</v>
      </c>
      <c r="AL18" s="399" t="s">
        <v>105</v>
      </c>
      <c r="AM18" s="399" t="s">
        <v>106</v>
      </c>
      <c r="AN18" s="399" t="s">
        <v>107</v>
      </c>
      <c r="AO18" s="399" t="s">
        <v>108</v>
      </c>
      <c r="AP18" s="399" t="s">
        <v>97</v>
      </c>
      <c r="AQ18" s="399" t="s">
        <v>98</v>
      </c>
      <c r="AR18" s="399" t="s">
        <v>99</v>
      </c>
      <c r="AS18" s="399" t="s">
        <v>100</v>
      </c>
      <c r="AT18" s="399" t="s">
        <v>101</v>
      </c>
      <c r="AU18" s="399" t="s">
        <v>102</v>
      </c>
      <c r="AV18" s="399" t="s">
        <v>103</v>
      </c>
      <c r="AW18" s="399" t="s">
        <v>104</v>
      </c>
      <c r="AX18" s="399" t="s">
        <v>105</v>
      </c>
      <c r="AY18" s="399" t="s">
        <v>106</v>
      </c>
      <c r="AZ18" s="399" t="s">
        <v>107</v>
      </c>
      <c r="BA18" s="399" t="s">
        <v>108</v>
      </c>
      <c r="BB18" s="399" t="s">
        <v>97</v>
      </c>
      <c r="BC18" s="399" t="s">
        <v>98</v>
      </c>
      <c r="BD18" s="399" t="s">
        <v>99</v>
      </c>
      <c r="BE18" s="399" t="s">
        <v>100</v>
      </c>
      <c r="BF18" s="399" t="s">
        <v>101</v>
      </c>
      <c r="BG18" s="399" t="s">
        <v>102</v>
      </c>
      <c r="BH18" s="399" t="s">
        <v>103</v>
      </c>
      <c r="BI18" s="399" t="s">
        <v>104</v>
      </c>
      <c r="BJ18" s="399" t="s">
        <v>105</v>
      </c>
      <c r="BK18" s="399" t="s">
        <v>106</v>
      </c>
      <c r="BL18" s="399" t="s">
        <v>107</v>
      </c>
      <c r="BM18" s="399" t="s">
        <v>108</v>
      </c>
      <c r="BN18" s="399" t="s">
        <v>97</v>
      </c>
      <c r="BO18" s="399" t="s">
        <v>98</v>
      </c>
      <c r="BP18" s="399" t="s">
        <v>99</v>
      </c>
      <c r="BQ18" s="399" t="s">
        <v>100</v>
      </c>
      <c r="BR18" s="399" t="s">
        <v>101</v>
      </c>
      <c r="BS18" s="399" t="s">
        <v>102</v>
      </c>
      <c r="BT18" s="399" t="s">
        <v>103</v>
      </c>
      <c r="BU18" s="399" t="s">
        <v>104</v>
      </c>
      <c r="BV18" s="399" t="s">
        <v>105</v>
      </c>
      <c r="BW18" s="399" t="s">
        <v>106</v>
      </c>
      <c r="BX18" s="399" t="s">
        <v>107</v>
      </c>
      <c r="BY18" s="399" t="s">
        <v>108</v>
      </c>
      <c r="BZ18" s="399" t="s">
        <v>97</v>
      </c>
      <c r="CA18" s="399" t="s">
        <v>98</v>
      </c>
      <c r="CB18" s="399" t="s">
        <v>99</v>
      </c>
      <c r="CC18" s="399" t="s">
        <v>100</v>
      </c>
      <c r="CD18" s="399" t="s">
        <v>101</v>
      </c>
      <c r="CE18" s="399" t="s">
        <v>102</v>
      </c>
      <c r="CF18" s="399" t="s">
        <v>103</v>
      </c>
      <c r="CG18" s="399" t="s">
        <v>104</v>
      </c>
      <c r="CH18" s="399" t="s">
        <v>105</v>
      </c>
      <c r="CI18" s="399" t="s">
        <v>106</v>
      </c>
      <c r="CJ18" s="399" t="s">
        <v>107</v>
      </c>
      <c r="CK18" s="399" t="s">
        <v>108</v>
      </c>
      <c r="CL18" s="399" t="s">
        <v>97</v>
      </c>
      <c r="CM18" s="399" t="s">
        <v>98</v>
      </c>
      <c r="CN18" s="399" t="s">
        <v>99</v>
      </c>
      <c r="CO18" s="399" t="s">
        <v>100</v>
      </c>
      <c r="CP18" s="399" t="s">
        <v>101</v>
      </c>
      <c r="CQ18" s="399" t="s">
        <v>102</v>
      </c>
      <c r="CR18" s="399" t="s">
        <v>103</v>
      </c>
      <c r="CS18" s="399" t="s">
        <v>104</v>
      </c>
      <c r="CT18" s="399" t="s">
        <v>105</v>
      </c>
      <c r="CU18" s="399" t="s">
        <v>106</v>
      </c>
      <c r="CV18" s="399" t="s">
        <v>107</v>
      </c>
      <c r="CW18" s="399" t="s">
        <v>108</v>
      </c>
      <c r="CX18" s="399" t="s">
        <v>97</v>
      </c>
      <c r="CY18" s="399" t="s">
        <v>98</v>
      </c>
      <c r="CZ18" s="399" t="s">
        <v>99</v>
      </c>
      <c r="DA18" s="399" t="s">
        <v>100</v>
      </c>
      <c r="DB18" s="399" t="s">
        <v>101</v>
      </c>
      <c r="DC18" s="399" t="s">
        <v>102</v>
      </c>
      <c r="DD18" s="399" t="s">
        <v>103</v>
      </c>
      <c r="DE18" s="399" t="s">
        <v>104</v>
      </c>
      <c r="DF18" s="399" t="s">
        <v>105</v>
      </c>
      <c r="DG18" s="399" t="s">
        <v>106</v>
      </c>
      <c r="DH18" s="399" t="s">
        <v>107</v>
      </c>
      <c r="DI18" s="399" t="s">
        <v>108</v>
      </c>
      <c r="DJ18" s="399" t="s">
        <v>97</v>
      </c>
      <c r="DK18" s="399" t="s">
        <v>98</v>
      </c>
      <c r="DL18" s="399" t="s">
        <v>99</v>
      </c>
      <c r="DM18" s="399" t="s">
        <v>100</v>
      </c>
      <c r="DN18" s="399" t="s">
        <v>101</v>
      </c>
      <c r="DO18" s="399" t="s">
        <v>102</v>
      </c>
      <c r="DP18" s="399" t="s">
        <v>103</v>
      </c>
      <c r="DQ18" s="399" t="s">
        <v>104</v>
      </c>
      <c r="DR18" s="399" t="s">
        <v>105</v>
      </c>
      <c r="DS18" s="399" t="s">
        <v>106</v>
      </c>
      <c r="DT18" s="399" t="s">
        <v>107</v>
      </c>
      <c r="DU18" s="399" t="s">
        <v>108</v>
      </c>
    </row>
    <row r="19" spans="3:126" x14ac:dyDescent="0.25">
      <c r="D19" s="176" t="s">
        <v>111</v>
      </c>
      <c r="E19" s="173">
        <v>0.3</v>
      </c>
      <c r="F19" s="167">
        <v>0</v>
      </c>
      <c r="G19" s="167">
        <v>0</v>
      </c>
      <c r="H19" s="167">
        <v>0</v>
      </c>
      <c r="I19" s="167">
        <f>$E$19*F13</f>
        <v>17.392003200000001</v>
      </c>
      <c r="J19" s="167">
        <f t="shared" ref="J19:Q19" si="17">$E$19*G13</f>
        <v>21.135873542200564</v>
      </c>
      <c r="K19" s="167">
        <f t="shared" si="17"/>
        <v>24.4781492452497</v>
      </c>
      <c r="L19" s="167">
        <f t="shared" si="17"/>
        <v>17.075015803800248</v>
      </c>
      <c r="M19" s="167">
        <f t="shared" si="17"/>
        <v>17.075015803800248</v>
      </c>
      <c r="N19" s="167">
        <f t="shared" si="17"/>
        <v>22.128849600000009</v>
      </c>
      <c r="O19" s="167">
        <f t="shared" si="17"/>
        <v>24.559279474149506</v>
      </c>
      <c r="P19" s="167">
        <f t="shared" si="17"/>
        <v>26.194560663499885</v>
      </c>
      <c r="Q19" s="167">
        <f t="shared" si="17"/>
        <v>26.318646452850267</v>
      </c>
      <c r="R19" s="167">
        <f t="shared" ref="R19:CC19" si="18">($E$19*O13)</f>
        <v>24.559279474149506</v>
      </c>
      <c r="S19" s="167">
        <f t="shared" si="18"/>
        <v>23.446636326999609</v>
      </c>
      <c r="T19" s="167">
        <f t="shared" si="18"/>
        <v>20.796285579849787</v>
      </c>
      <c r="U19" s="167">
        <f t="shared" si="18"/>
        <v>31.091387184000002</v>
      </c>
      <c r="V19" s="167">
        <f t="shared" si="18"/>
        <v>28.005314950154606</v>
      </c>
      <c r="W19" s="167">
        <f t="shared" si="18"/>
        <v>22.388314692637184</v>
      </c>
      <c r="X19" s="167">
        <f t="shared" si="18"/>
        <v>16.66274385006626</v>
      </c>
      <c r="Y19" s="167">
        <f t="shared" si="18"/>
        <v>16.66274385006626</v>
      </c>
      <c r="Z19" s="167">
        <f t="shared" si="18"/>
        <v>21.219304392000002</v>
      </c>
      <c r="AA19" s="167">
        <f t="shared" si="18"/>
        <v>25.280819138339883</v>
      </c>
      <c r="AB19" s="167">
        <f t="shared" si="18"/>
        <v>26.349736714944786</v>
      </c>
      <c r="AC19" s="167">
        <f t="shared" si="18"/>
        <v>27.744886912549696</v>
      </c>
      <c r="AD19" s="167">
        <f t="shared" si="18"/>
        <v>25.280819138339883</v>
      </c>
      <c r="AE19" s="167">
        <f t="shared" si="18"/>
        <v>22.061975109889573</v>
      </c>
      <c r="AF19" s="167">
        <f t="shared" si="18"/>
        <v>20.956551104439267</v>
      </c>
      <c r="AG19" s="167">
        <f t="shared" si="18"/>
        <v>33.267784286880016</v>
      </c>
      <c r="AH19" s="167">
        <f t="shared" si="18"/>
        <v>29.965686996665433</v>
      </c>
      <c r="AI19" s="167">
        <f t="shared" si="18"/>
        <v>23.95549672112179</v>
      </c>
      <c r="AJ19" s="167">
        <f t="shared" si="18"/>
        <v>17.829135919570898</v>
      </c>
      <c r="AK19" s="167">
        <f t="shared" si="18"/>
        <v>17.829135919570898</v>
      </c>
      <c r="AL19" s="167">
        <f t="shared" si="18"/>
        <v>22.704655699440007</v>
      </c>
      <c r="AM19" s="167">
        <f t="shared" si="18"/>
        <v>27.050476478023675</v>
      </c>
      <c r="AN19" s="167">
        <f t="shared" si="18"/>
        <v>28.194218284990928</v>
      </c>
      <c r="AO19" s="167">
        <f t="shared" si="18"/>
        <v>29.687028996428175</v>
      </c>
      <c r="AP19" s="167">
        <f t="shared" si="18"/>
        <v>27.050476478023675</v>
      </c>
      <c r="AQ19" s="167">
        <f t="shared" si="18"/>
        <v>23.606313367581844</v>
      </c>
      <c r="AR19" s="167">
        <f t="shared" si="18"/>
        <v>22.423509681750019</v>
      </c>
      <c r="AS19" s="167">
        <f t="shared" si="18"/>
        <v>35.596529186961611</v>
      </c>
      <c r="AT19" s="167">
        <f t="shared" si="18"/>
        <v>32.063285086432018</v>
      </c>
      <c r="AU19" s="167">
        <f t="shared" si="18"/>
        <v>25.632381491600317</v>
      </c>
      <c r="AV19" s="167">
        <f t="shared" si="18"/>
        <v>19.077175433940866</v>
      </c>
      <c r="AW19" s="167">
        <f t="shared" si="18"/>
        <v>19.077175433940866</v>
      </c>
      <c r="AX19" s="167">
        <f t="shared" si="18"/>
        <v>24.293981598400809</v>
      </c>
      <c r="AY19" s="167">
        <f t="shared" si="18"/>
        <v>28.944009831485339</v>
      </c>
      <c r="AZ19" s="167">
        <f t="shared" si="18"/>
        <v>30.167813564940293</v>
      </c>
      <c r="BA19" s="167">
        <f t="shared" si="18"/>
        <v>31.765121026178154</v>
      </c>
      <c r="BB19" s="167">
        <f t="shared" si="18"/>
        <v>28.944009831485339</v>
      </c>
      <c r="BC19" s="167">
        <f t="shared" si="18"/>
        <v>25.258755303312579</v>
      </c>
      <c r="BD19" s="167">
        <f t="shared" si="18"/>
        <v>23.993155359472528</v>
      </c>
      <c r="BE19" s="167">
        <f t="shared" si="18"/>
        <v>38.088286230048929</v>
      </c>
      <c r="BF19" s="167">
        <f t="shared" si="18"/>
        <v>34.307715042482258</v>
      </c>
      <c r="BG19" s="167">
        <f t="shared" si="18"/>
        <v>27.426648196012341</v>
      </c>
      <c r="BH19" s="167">
        <f t="shared" si="18"/>
        <v>20.412577714316729</v>
      </c>
      <c r="BI19" s="167">
        <f t="shared" si="18"/>
        <v>20.412577714316729</v>
      </c>
      <c r="BJ19" s="167">
        <f t="shared" si="18"/>
        <v>25.994560310288868</v>
      </c>
      <c r="BK19" s="167">
        <f t="shared" si="18"/>
        <v>30.970090519689307</v>
      </c>
      <c r="BL19" s="167">
        <f t="shared" si="18"/>
        <v>32.279560514486121</v>
      </c>
      <c r="BM19" s="167">
        <f t="shared" si="18"/>
        <v>33.988679498010626</v>
      </c>
      <c r="BN19" s="167">
        <f t="shared" si="18"/>
        <v>30.970090519689307</v>
      </c>
      <c r="BO19" s="167">
        <f t="shared" si="18"/>
        <v>27.026868174544457</v>
      </c>
      <c r="BP19" s="167">
        <f t="shared" si="18"/>
        <v>25.672676234635603</v>
      </c>
      <c r="BQ19" s="167">
        <f t="shared" si="18"/>
        <v>40.754466266152349</v>
      </c>
      <c r="BR19" s="167">
        <f t="shared" si="18"/>
        <v>36.709255095456015</v>
      </c>
      <c r="BS19" s="167">
        <f t="shared" si="18"/>
        <v>29.346513569733208</v>
      </c>
      <c r="BT19" s="167">
        <f t="shared" si="18"/>
        <v>21.8414581543189</v>
      </c>
      <c r="BU19" s="167">
        <f t="shared" si="18"/>
        <v>21.8414581543189</v>
      </c>
      <c r="BV19" s="167">
        <f t="shared" si="18"/>
        <v>27.814179532009092</v>
      </c>
      <c r="BW19" s="167">
        <f t="shared" si="18"/>
        <v>33.137996856067566</v>
      </c>
      <c r="BX19" s="167">
        <f t="shared" si="18"/>
        <v>34.539129750500152</v>
      </c>
      <c r="BY19" s="167">
        <f t="shared" si="18"/>
        <v>36.367887062871375</v>
      </c>
      <c r="BZ19" s="167">
        <f t="shared" si="18"/>
        <v>33.137996856067566</v>
      </c>
      <c r="CA19" s="167">
        <f t="shared" si="18"/>
        <v>28.918748946762577</v>
      </c>
      <c r="CB19" s="167">
        <f t="shared" si="18"/>
        <v>27.469763571060096</v>
      </c>
      <c r="CC19" s="167">
        <f t="shared" si="18"/>
        <v>43.607278904783023</v>
      </c>
      <c r="CD19" s="167">
        <f t="shared" ref="CD19:DU19" si="19">($E$19*CA13)</f>
        <v>39.278902952137948</v>
      </c>
      <c r="CE19" s="167">
        <f t="shared" si="19"/>
        <v>31.400769519614535</v>
      </c>
      <c r="CF19" s="167">
        <f t="shared" si="19"/>
        <v>23.370360225121225</v>
      </c>
      <c r="CG19" s="167">
        <f t="shared" si="19"/>
        <v>23.370360225121225</v>
      </c>
      <c r="CH19" s="167">
        <f t="shared" si="19"/>
        <v>29.76117209924973</v>
      </c>
      <c r="CI19" s="167">
        <f t="shared" si="19"/>
        <v>35.457656635992301</v>
      </c>
      <c r="CJ19" s="167">
        <f t="shared" si="19"/>
        <v>36.956868833035166</v>
      </c>
      <c r="CK19" s="167">
        <f t="shared" si="19"/>
        <v>38.913639157272371</v>
      </c>
      <c r="CL19" s="167">
        <f t="shared" si="19"/>
        <v>35.457656635992301</v>
      </c>
      <c r="CM19" s="167">
        <f t="shared" si="19"/>
        <v>30.943061373035956</v>
      </c>
      <c r="CN19" s="167">
        <f t="shared" si="19"/>
        <v>29.392647021034307</v>
      </c>
      <c r="CO19" s="167">
        <f t="shared" si="19"/>
        <v>46.659788428117842</v>
      </c>
      <c r="CP19" s="167">
        <f t="shared" si="19"/>
        <v>42.02842615878761</v>
      </c>
      <c r="CQ19" s="167">
        <f t="shared" si="19"/>
        <v>33.598823385987558</v>
      </c>
      <c r="CR19" s="167">
        <f t="shared" si="19"/>
        <v>25.006285440879715</v>
      </c>
      <c r="CS19" s="167">
        <f t="shared" si="19"/>
        <v>25.006285440879715</v>
      </c>
      <c r="CT19" s="167">
        <f t="shared" si="19"/>
        <v>31.844454146197211</v>
      </c>
      <c r="CU19" s="167">
        <f t="shared" si="19"/>
        <v>37.939692600511762</v>
      </c>
      <c r="CV19" s="167">
        <f t="shared" si="19"/>
        <v>39.543849651347628</v>
      </c>
      <c r="CW19" s="167">
        <f t="shared" si="19"/>
        <v>41.637593898281445</v>
      </c>
      <c r="CX19" s="167">
        <f t="shared" si="19"/>
        <v>37.939692600511762</v>
      </c>
      <c r="CY19" s="167">
        <f t="shared" si="19"/>
        <v>33.109075669148481</v>
      </c>
      <c r="CZ19" s="167">
        <f t="shared" si="19"/>
        <v>31.45013231250671</v>
      </c>
      <c r="DA19" s="167">
        <f t="shared" si="19"/>
        <v>49.925973618086097</v>
      </c>
      <c r="DB19" s="167">
        <f t="shared" si="19"/>
        <v>44.970415989902733</v>
      </c>
      <c r="DC19" s="167">
        <f t="shared" si="19"/>
        <v>35.950741023006685</v>
      </c>
      <c r="DD19" s="167">
        <f t="shared" si="19"/>
        <v>26.75672542174129</v>
      </c>
      <c r="DE19" s="167">
        <f t="shared" si="19"/>
        <v>26.75672542174129</v>
      </c>
      <c r="DF19" s="167">
        <f t="shared" si="19"/>
        <v>34.073565936431024</v>
      </c>
      <c r="DG19" s="167">
        <f t="shared" si="19"/>
        <v>40.595471082547583</v>
      </c>
      <c r="DH19" s="167">
        <f t="shared" si="19"/>
        <v>42.311919126941959</v>
      </c>
      <c r="DI19" s="167">
        <f t="shared" si="19"/>
        <v>44.552225471161144</v>
      </c>
      <c r="DJ19" s="167">
        <f t="shared" si="19"/>
        <v>40.595471082547583</v>
      </c>
      <c r="DK19" s="167">
        <f t="shared" si="19"/>
        <v>35.426710965988875</v>
      </c>
      <c r="DL19" s="167">
        <f t="shared" si="19"/>
        <v>33.651641574382182</v>
      </c>
      <c r="DM19" s="167">
        <f t="shared" si="19"/>
        <v>53.420791771352121</v>
      </c>
      <c r="DN19" s="167">
        <f t="shared" si="19"/>
        <v>48.118345109195921</v>
      </c>
      <c r="DO19" s="167">
        <f t="shared" si="19"/>
        <v>38.467292894617152</v>
      </c>
      <c r="DP19" s="167">
        <f t="shared" si="19"/>
        <v>28.629696201263183</v>
      </c>
      <c r="DQ19" s="167">
        <f t="shared" si="19"/>
        <v>28.629696201263183</v>
      </c>
      <c r="DR19" s="167">
        <f t="shared" si="19"/>
        <v>36.458715551981193</v>
      </c>
      <c r="DS19" s="167">
        <f t="shared" si="19"/>
        <v>43.437154058325916</v>
      </c>
      <c r="DT19" s="167">
        <f t="shared" si="19"/>
        <v>45.273753465827902</v>
      </c>
      <c r="DU19" s="167">
        <f t="shared" si="19"/>
        <v>47.670881254142429</v>
      </c>
    </row>
    <row r="20" spans="3:126" x14ac:dyDescent="0.25">
      <c r="D20" s="775" t="s">
        <v>114</v>
      </c>
      <c r="E20" s="775"/>
      <c r="F20" s="167">
        <f t="shared" ref="F20:AK20" si="20">SUM(F19:F19)</f>
        <v>0</v>
      </c>
      <c r="G20" s="167">
        <f t="shared" si="20"/>
        <v>0</v>
      </c>
      <c r="H20" s="167">
        <f t="shared" si="20"/>
        <v>0</v>
      </c>
      <c r="I20" s="167">
        <f t="shared" si="20"/>
        <v>17.392003200000001</v>
      </c>
      <c r="J20" s="167">
        <f t="shared" si="20"/>
        <v>21.135873542200564</v>
      </c>
      <c r="K20" s="167">
        <f t="shared" si="20"/>
        <v>24.4781492452497</v>
      </c>
      <c r="L20" s="167">
        <f t="shared" si="20"/>
        <v>17.075015803800248</v>
      </c>
      <c r="M20" s="167">
        <f t="shared" si="20"/>
        <v>17.075015803800248</v>
      </c>
      <c r="N20" s="167">
        <f t="shared" si="20"/>
        <v>22.128849600000009</v>
      </c>
      <c r="O20" s="167">
        <f t="shared" si="20"/>
        <v>24.559279474149506</v>
      </c>
      <c r="P20" s="167">
        <f t="shared" si="20"/>
        <v>26.194560663499885</v>
      </c>
      <c r="Q20" s="167">
        <f t="shared" si="20"/>
        <v>26.318646452850267</v>
      </c>
      <c r="R20" s="167">
        <f t="shared" si="20"/>
        <v>24.559279474149506</v>
      </c>
      <c r="S20" s="167">
        <f t="shared" si="20"/>
        <v>23.446636326999609</v>
      </c>
      <c r="T20" s="167">
        <f t="shared" si="20"/>
        <v>20.796285579849787</v>
      </c>
      <c r="U20" s="167">
        <f t="shared" si="20"/>
        <v>31.091387184000002</v>
      </c>
      <c r="V20" s="167">
        <f t="shared" si="20"/>
        <v>28.005314950154606</v>
      </c>
      <c r="W20" s="167">
        <f t="shared" si="20"/>
        <v>22.388314692637184</v>
      </c>
      <c r="X20" s="167">
        <f t="shared" si="20"/>
        <v>16.66274385006626</v>
      </c>
      <c r="Y20" s="167">
        <f t="shared" si="20"/>
        <v>16.66274385006626</v>
      </c>
      <c r="Z20" s="167">
        <f t="shared" si="20"/>
        <v>21.219304392000002</v>
      </c>
      <c r="AA20" s="167">
        <f t="shared" si="20"/>
        <v>25.280819138339883</v>
      </c>
      <c r="AB20" s="167">
        <f t="shared" si="20"/>
        <v>26.349736714944786</v>
      </c>
      <c r="AC20" s="167">
        <f t="shared" si="20"/>
        <v>27.744886912549696</v>
      </c>
      <c r="AD20" s="167">
        <f t="shared" si="20"/>
        <v>25.280819138339883</v>
      </c>
      <c r="AE20" s="167">
        <f t="shared" si="20"/>
        <v>22.061975109889573</v>
      </c>
      <c r="AF20" s="167">
        <f t="shared" si="20"/>
        <v>20.956551104439267</v>
      </c>
      <c r="AG20" s="167">
        <f t="shared" si="20"/>
        <v>33.267784286880016</v>
      </c>
      <c r="AH20" s="167">
        <f t="shared" si="20"/>
        <v>29.965686996665433</v>
      </c>
      <c r="AI20" s="167">
        <f t="shared" si="20"/>
        <v>23.95549672112179</v>
      </c>
      <c r="AJ20" s="167">
        <f t="shared" si="20"/>
        <v>17.829135919570898</v>
      </c>
      <c r="AK20" s="167">
        <f t="shared" si="20"/>
        <v>17.829135919570898</v>
      </c>
      <c r="AL20" s="167">
        <f t="shared" ref="AL20:CW20" si="21">SUM(AL19:AL19)</f>
        <v>22.704655699440007</v>
      </c>
      <c r="AM20" s="167">
        <f t="shared" si="21"/>
        <v>27.050476478023675</v>
      </c>
      <c r="AN20" s="167">
        <f t="shared" si="21"/>
        <v>28.194218284990928</v>
      </c>
      <c r="AO20" s="167">
        <f t="shared" si="21"/>
        <v>29.687028996428175</v>
      </c>
      <c r="AP20" s="167">
        <f t="shared" si="21"/>
        <v>27.050476478023675</v>
      </c>
      <c r="AQ20" s="167">
        <f t="shared" si="21"/>
        <v>23.606313367581844</v>
      </c>
      <c r="AR20" s="167">
        <f t="shared" si="21"/>
        <v>22.423509681750019</v>
      </c>
      <c r="AS20" s="167">
        <f t="shared" si="21"/>
        <v>35.596529186961611</v>
      </c>
      <c r="AT20" s="167">
        <f t="shared" si="21"/>
        <v>32.063285086432018</v>
      </c>
      <c r="AU20" s="167">
        <f t="shared" si="21"/>
        <v>25.632381491600317</v>
      </c>
      <c r="AV20" s="167">
        <f t="shared" si="21"/>
        <v>19.077175433940866</v>
      </c>
      <c r="AW20" s="167">
        <f t="shared" si="21"/>
        <v>19.077175433940866</v>
      </c>
      <c r="AX20" s="167">
        <f t="shared" si="21"/>
        <v>24.293981598400809</v>
      </c>
      <c r="AY20" s="167">
        <f t="shared" si="21"/>
        <v>28.944009831485339</v>
      </c>
      <c r="AZ20" s="167">
        <f t="shared" si="21"/>
        <v>30.167813564940293</v>
      </c>
      <c r="BA20" s="167">
        <f t="shared" si="21"/>
        <v>31.765121026178154</v>
      </c>
      <c r="BB20" s="167">
        <f t="shared" si="21"/>
        <v>28.944009831485339</v>
      </c>
      <c r="BC20" s="167">
        <f t="shared" si="21"/>
        <v>25.258755303312579</v>
      </c>
      <c r="BD20" s="167">
        <f t="shared" si="21"/>
        <v>23.993155359472528</v>
      </c>
      <c r="BE20" s="167">
        <f t="shared" si="21"/>
        <v>38.088286230048929</v>
      </c>
      <c r="BF20" s="167">
        <f t="shared" si="21"/>
        <v>34.307715042482258</v>
      </c>
      <c r="BG20" s="167">
        <f t="shared" si="21"/>
        <v>27.426648196012341</v>
      </c>
      <c r="BH20" s="167">
        <f t="shared" si="21"/>
        <v>20.412577714316729</v>
      </c>
      <c r="BI20" s="167">
        <f t="shared" si="21"/>
        <v>20.412577714316729</v>
      </c>
      <c r="BJ20" s="167">
        <f t="shared" si="21"/>
        <v>25.994560310288868</v>
      </c>
      <c r="BK20" s="167">
        <f t="shared" si="21"/>
        <v>30.970090519689307</v>
      </c>
      <c r="BL20" s="167">
        <f t="shared" si="21"/>
        <v>32.279560514486121</v>
      </c>
      <c r="BM20" s="167">
        <f t="shared" si="21"/>
        <v>33.988679498010626</v>
      </c>
      <c r="BN20" s="167">
        <f t="shared" si="21"/>
        <v>30.970090519689307</v>
      </c>
      <c r="BO20" s="167">
        <f t="shared" si="21"/>
        <v>27.026868174544457</v>
      </c>
      <c r="BP20" s="167">
        <f t="shared" si="21"/>
        <v>25.672676234635603</v>
      </c>
      <c r="BQ20" s="167">
        <f t="shared" si="21"/>
        <v>40.754466266152349</v>
      </c>
      <c r="BR20" s="167">
        <f t="shared" si="21"/>
        <v>36.709255095456015</v>
      </c>
      <c r="BS20" s="167">
        <f t="shared" si="21"/>
        <v>29.346513569733208</v>
      </c>
      <c r="BT20" s="167">
        <f t="shared" si="21"/>
        <v>21.8414581543189</v>
      </c>
      <c r="BU20" s="167">
        <f t="shared" si="21"/>
        <v>21.8414581543189</v>
      </c>
      <c r="BV20" s="167">
        <f t="shared" si="21"/>
        <v>27.814179532009092</v>
      </c>
      <c r="BW20" s="167">
        <f t="shared" si="21"/>
        <v>33.137996856067566</v>
      </c>
      <c r="BX20" s="167">
        <f t="shared" si="21"/>
        <v>34.539129750500152</v>
      </c>
      <c r="BY20" s="167">
        <f t="shared" si="21"/>
        <v>36.367887062871375</v>
      </c>
      <c r="BZ20" s="167">
        <f t="shared" si="21"/>
        <v>33.137996856067566</v>
      </c>
      <c r="CA20" s="167">
        <f t="shared" si="21"/>
        <v>28.918748946762577</v>
      </c>
      <c r="CB20" s="167">
        <f t="shared" si="21"/>
        <v>27.469763571060096</v>
      </c>
      <c r="CC20" s="167">
        <f t="shared" si="21"/>
        <v>43.607278904783023</v>
      </c>
      <c r="CD20" s="167">
        <f t="shared" si="21"/>
        <v>39.278902952137948</v>
      </c>
      <c r="CE20" s="167">
        <f t="shared" si="21"/>
        <v>31.400769519614535</v>
      </c>
      <c r="CF20" s="167">
        <f t="shared" si="21"/>
        <v>23.370360225121225</v>
      </c>
      <c r="CG20" s="167">
        <f t="shared" si="21"/>
        <v>23.370360225121225</v>
      </c>
      <c r="CH20" s="167">
        <f t="shared" si="21"/>
        <v>29.76117209924973</v>
      </c>
      <c r="CI20" s="167">
        <f t="shared" si="21"/>
        <v>35.457656635992301</v>
      </c>
      <c r="CJ20" s="167">
        <f t="shared" si="21"/>
        <v>36.956868833035166</v>
      </c>
      <c r="CK20" s="167">
        <f t="shared" si="21"/>
        <v>38.913639157272371</v>
      </c>
      <c r="CL20" s="167">
        <f t="shared" si="21"/>
        <v>35.457656635992301</v>
      </c>
      <c r="CM20" s="167">
        <f t="shared" si="21"/>
        <v>30.943061373035956</v>
      </c>
      <c r="CN20" s="167">
        <f t="shared" si="21"/>
        <v>29.392647021034307</v>
      </c>
      <c r="CO20" s="167">
        <f t="shared" si="21"/>
        <v>46.659788428117842</v>
      </c>
      <c r="CP20" s="167">
        <f t="shared" si="21"/>
        <v>42.02842615878761</v>
      </c>
      <c r="CQ20" s="167">
        <f t="shared" si="21"/>
        <v>33.598823385987558</v>
      </c>
      <c r="CR20" s="167">
        <f t="shared" si="21"/>
        <v>25.006285440879715</v>
      </c>
      <c r="CS20" s="167">
        <f t="shared" si="21"/>
        <v>25.006285440879715</v>
      </c>
      <c r="CT20" s="167">
        <f t="shared" si="21"/>
        <v>31.844454146197211</v>
      </c>
      <c r="CU20" s="167">
        <f t="shared" si="21"/>
        <v>37.939692600511762</v>
      </c>
      <c r="CV20" s="167">
        <f t="shared" si="21"/>
        <v>39.543849651347628</v>
      </c>
      <c r="CW20" s="167">
        <f t="shared" si="21"/>
        <v>41.637593898281445</v>
      </c>
      <c r="CX20" s="167">
        <f t="shared" ref="CX20:DU20" si="22">SUM(CX19:CX19)</f>
        <v>37.939692600511762</v>
      </c>
      <c r="CY20" s="167">
        <f t="shared" si="22"/>
        <v>33.109075669148481</v>
      </c>
      <c r="CZ20" s="167">
        <f t="shared" si="22"/>
        <v>31.45013231250671</v>
      </c>
      <c r="DA20" s="167">
        <f t="shared" si="22"/>
        <v>49.925973618086097</v>
      </c>
      <c r="DB20" s="167">
        <f t="shared" si="22"/>
        <v>44.970415989902733</v>
      </c>
      <c r="DC20" s="167">
        <f t="shared" si="22"/>
        <v>35.950741023006685</v>
      </c>
      <c r="DD20" s="167">
        <f t="shared" si="22"/>
        <v>26.75672542174129</v>
      </c>
      <c r="DE20" s="167">
        <f t="shared" si="22"/>
        <v>26.75672542174129</v>
      </c>
      <c r="DF20" s="167">
        <f t="shared" si="22"/>
        <v>34.073565936431024</v>
      </c>
      <c r="DG20" s="167">
        <f t="shared" si="22"/>
        <v>40.595471082547583</v>
      </c>
      <c r="DH20" s="167">
        <f t="shared" si="22"/>
        <v>42.311919126941959</v>
      </c>
      <c r="DI20" s="167">
        <f t="shared" si="22"/>
        <v>44.552225471161144</v>
      </c>
      <c r="DJ20" s="167">
        <f t="shared" si="22"/>
        <v>40.595471082547583</v>
      </c>
      <c r="DK20" s="167">
        <f t="shared" si="22"/>
        <v>35.426710965988875</v>
      </c>
      <c r="DL20" s="167">
        <f t="shared" si="22"/>
        <v>33.651641574382182</v>
      </c>
      <c r="DM20" s="167">
        <f t="shared" si="22"/>
        <v>53.420791771352121</v>
      </c>
      <c r="DN20" s="167">
        <f t="shared" si="22"/>
        <v>48.118345109195921</v>
      </c>
      <c r="DO20" s="167">
        <f t="shared" si="22"/>
        <v>38.467292894617152</v>
      </c>
      <c r="DP20" s="167">
        <f t="shared" si="22"/>
        <v>28.629696201263183</v>
      </c>
      <c r="DQ20" s="167">
        <f t="shared" si="22"/>
        <v>28.629696201263183</v>
      </c>
      <c r="DR20" s="167">
        <f t="shared" si="22"/>
        <v>36.458715551981193</v>
      </c>
      <c r="DS20" s="167">
        <f t="shared" si="22"/>
        <v>43.437154058325916</v>
      </c>
      <c r="DT20" s="167">
        <f t="shared" si="22"/>
        <v>45.273753465827902</v>
      </c>
      <c r="DU20" s="167">
        <f t="shared" si="22"/>
        <v>47.670881254142429</v>
      </c>
    </row>
    <row r="21" spans="3:126" x14ac:dyDescent="0.25">
      <c r="D21" s="166"/>
      <c r="E21" s="166"/>
      <c r="F21" s="604"/>
      <c r="G21" s="604"/>
      <c r="H21" s="60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</row>
    <row r="22" spans="3:126" x14ac:dyDescent="0.25">
      <c r="D22" s="166"/>
      <c r="E22" s="165"/>
      <c r="F22" s="608"/>
      <c r="G22" s="608"/>
      <c r="H22" s="608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</row>
    <row r="23" spans="3:126" ht="12" customHeight="1" x14ac:dyDescent="0.25">
      <c r="D23" s="784" t="s">
        <v>115</v>
      </c>
      <c r="E23" s="785"/>
      <c r="F23" s="608"/>
      <c r="G23" s="608"/>
      <c r="H23" s="608"/>
      <c r="I23" s="25"/>
      <c r="J23" s="25"/>
      <c r="K23" s="25"/>
      <c r="L23" s="25"/>
      <c r="M23" s="25"/>
      <c r="N23" s="25"/>
      <c r="O23" s="25"/>
      <c r="P23" s="25"/>
      <c r="Q23" s="25"/>
      <c r="R23" s="784" t="s">
        <v>115</v>
      </c>
      <c r="S23" s="78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784" t="s">
        <v>115</v>
      </c>
      <c r="AE23" s="78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784" t="s">
        <v>115</v>
      </c>
      <c r="AQ23" s="78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784" t="s">
        <v>115</v>
      </c>
      <c r="BC23" s="78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784" t="s">
        <v>115</v>
      </c>
      <c r="BO23" s="78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784" t="s">
        <v>115</v>
      </c>
      <c r="CA23" s="78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784" t="s">
        <v>115</v>
      </c>
      <c r="CM23" s="78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784" t="s">
        <v>115</v>
      </c>
      <c r="CY23" s="78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784" t="s">
        <v>115</v>
      </c>
      <c r="DK23" s="785"/>
      <c r="DL23" s="25"/>
      <c r="DM23" s="25"/>
      <c r="DN23" s="25"/>
      <c r="DO23" s="25"/>
      <c r="DP23" s="25"/>
      <c r="DQ23" s="25"/>
      <c r="DR23" s="25"/>
      <c r="DS23" s="25"/>
      <c r="DT23" s="25"/>
      <c r="DU23" s="25"/>
    </row>
    <row r="24" spans="3:126" ht="12" customHeight="1" x14ac:dyDescent="0.25">
      <c r="D24" s="166"/>
      <c r="E24" s="166"/>
      <c r="F24" s="608"/>
      <c r="G24" s="608"/>
      <c r="H24" s="608"/>
      <c r="I24" s="25"/>
      <c r="J24" s="25"/>
      <c r="K24" s="25"/>
      <c r="L24" s="25"/>
      <c r="M24" s="25"/>
      <c r="N24" s="25"/>
      <c r="O24" s="25"/>
      <c r="P24" s="25"/>
      <c r="Q24" s="25"/>
      <c r="R24" s="166"/>
      <c r="S24" s="166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166"/>
      <c r="AE24" s="166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166"/>
      <c r="AQ24" s="166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166"/>
      <c r="BC24" s="166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166"/>
      <c r="BO24" s="166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166"/>
      <c r="CA24" s="166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166"/>
      <c r="CM24" s="166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166"/>
      <c r="CY24" s="166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166"/>
      <c r="DK24" s="166"/>
      <c r="DL24" s="25"/>
      <c r="DM24" s="25"/>
      <c r="DN24" s="25"/>
      <c r="DO24" s="25"/>
      <c r="DP24" s="25"/>
      <c r="DQ24" s="25"/>
      <c r="DR24" s="25"/>
      <c r="DS24" s="25"/>
      <c r="DT24" s="25"/>
      <c r="DU24" s="25"/>
    </row>
    <row r="25" spans="3:126" ht="15" customHeight="1" x14ac:dyDescent="0.25">
      <c r="D25" s="780" t="s">
        <v>109</v>
      </c>
      <c r="E25" s="780"/>
      <c r="F25" s="399" t="s">
        <v>97</v>
      </c>
      <c r="G25" s="399" t="s">
        <v>98</v>
      </c>
      <c r="H25" s="399" t="s">
        <v>99</v>
      </c>
      <c r="I25" s="399" t="s">
        <v>100</v>
      </c>
      <c r="J25" s="399" t="s">
        <v>101</v>
      </c>
      <c r="K25" s="399" t="s">
        <v>102</v>
      </c>
      <c r="L25" s="399" t="s">
        <v>103</v>
      </c>
      <c r="M25" s="399" t="s">
        <v>104</v>
      </c>
      <c r="N25" s="399" t="s">
        <v>105</v>
      </c>
      <c r="O25" s="399" t="s">
        <v>106</v>
      </c>
      <c r="P25" s="399" t="s">
        <v>107</v>
      </c>
      <c r="Q25" s="399" t="s">
        <v>108</v>
      </c>
      <c r="R25" s="399" t="s">
        <v>97</v>
      </c>
      <c r="S25" s="399" t="s">
        <v>98</v>
      </c>
      <c r="T25" s="399" t="s">
        <v>99</v>
      </c>
      <c r="U25" s="399" t="s">
        <v>100</v>
      </c>
      <c r="V25" s="399" t="s">
        <v>101</v>
      </c>
      <c r="W25" s="399" t="s">
        <v>102</v>
      </c>
      <c r="X25" s="399" t="s">
        <v>103</v>
      </c>
      <c r="Y25" s="399" t="s">
        <v>104</v>
      </c>
      <c r="Z25" s="399" t="s">
        <v>105</v>
      </c>
      <c r="AA25" s="399" t="s">
        <v>106</v>
      </c>
      <c r="AB25" s="399" t="s">
        <v>107</v>
      </c>
      <c r="AC25" s="399" t="s">
        <v>108</v>
      </c>
      <c r="AD25" s="399" t="s">
        <v>97</v>
      </c>
      <c r="AE25" s="399" t="s">
        <v>98</v>
      </c>
      <c r="AF25" s="399" t="s">
        <v>99</v>
      </c>
      <c r="AG25" s="399" t="s">
        <v>100</v>
      </c>
      <c r="AH25" s="399" t="s">
        <v>101</v>
      </c>
      <c r="AI25" s="399" t="s">
        <v>102</v>
      </c>
      <c r="AJ25" s="399" t="s">
        <v>103</v>
      </c>
      <c r="AK25" s="399" t="s">
        <v>104</v>
      </c>
      <c r="AL25" s="399" t="s">
        <v>105</v>
      </c>
      <c r="AM25" s="399" t="s">
        <v>106</v>
      </c>
      <c r="AN25" s="399" t="s">
        <v>107</v>
      </c>
      <c r="AO25" s="399" t="s">
        <v>108</v>
      </c>
      <c r="AP25" s="399" t="s">
        <v>97</v>
      </c>
      <c r="AQ25" s="399" t="s">
        <v>98</v>
      </c>
      <c r="AR25" s="399" t="s">
        <v>99</v>
      </c>
      <c r="AS25" s="399" t="s">
        <v>100</v>
      </c>
      <c r="AT25" s="399" t="s">
        <v>101</v>
      </c>
      <c r="AU25" s="399" t="s">
        <v>102</v>
      </c>
      <c r="AV25" s="399" t="s">
        <v>103</v>
      </c>
      <c r="AW25" s="399" t="s">
        <v>104</v>
      </c>
      <c r="AX25" s="399" t="s">
        <v>105</v>
      </c>
      <c r="AY25" s="399" t="s">
        <v>106</v>
      </c>
      <c r="AZ25" s="399" t="s">
        <v>107</v>
      </c>
      <c r="BA25" s="399" t="s">
        <v>108</v>
      </c>
      <c r="BB25" s="399" t="s">
        <v>97</v>
      </c>
      <c r="BC25" s="399" t="s">
        <v>98</v>
      </c>
      <c r="BD25" s="399" t="s">
        <v>99</v>
      </c>
      <c r="BE25" s="399" t="s">
        <v>100</v>
      </c>
      <c r="BF25" s="399" t="s">
        <v>101</v>
      </c>
      <c r="BG25" s="399" t="s">
        <v>102</v>
      </c>
      <c r="BH25" s="399" t="s">
        <v>103</v>
      </c>
      <c r="BI25" s="399" t="s">
        <v>104</v>
      </c>
      <c r="BJ25" s="399" t="s">
        <v>105</v>
      </c>
      <c r="BK25" s="399" t="s">
        <v>106</v>
      </c>
      <c r="BL25" s="399" t="s">
        <v>107</v>
      </c>
      <c r="BM25" s="399" t="s">
        <v>108</v>
      </c>
      <c r="BN25" s="399" t="s">
        <v>97</v>
      </c>
      <c r="BO25" s="399" t="s">
        <v>98</v>
      </c>
      <c r="BP25" s="399" t="s">
        <v>99</v>
      </c>
      <c r="BQ25" s="399" t="s">
        <v>100</v>
      </c>
      <c r="BR25" s="399" t="s">
        <v>101</v>
      </c>
      <c r="BS25" s="399" t="s">
        <v>102</v>
      </c>
      <c r="BT25" s="399" t="s">
        <v>103</v>
      </c>
      <c r="BU25" s="399" t="s">
        <v>104</v>
      </c>
      <c r="BV25" s="399" t="s">
        <v>105</v>
      </c>
      <c r="BW25" s="399" t="s">
        <v>106</v>
      </c>
      <c r="BX25" s="399" t="s">
        <v>107</v>
      </c>
      <c r="BY25" s="399" t="s">
        <v>108</v>
      </c>
      <c r="BZ25" s="399" t="s">
        <v>97</v>
      </c>
      <c r="CA25" s="399" t="s">
        <v>98</v>
      </c>
      <c r="CB25" s="399" t="s">
        <v>99</v>
      </c>
      <c r="CC25" s="399" t="s">
        <v>100</v>
      </c>
      <c r="CD25" s="399" t="s">
        <v>101</v>
      </c>
      <c r="CE25" s="399" t="s">
        <v>102</v>
      </c>
      <c r="CF25" s="399" t="s">
        <v>103</v>
      </c>
      <c r="CG25" s="399" t="s">
        <v>104</v>
      </c>
      <c r="CH25" s="399" t="s">
        <v>105</v>
      </c>
      <c r="CI25" s="399" t="s">
        <v>106</v>
      </c>
      <c r="CJ25" s="399" t="s">
        <v>107</v>
      </c>
      <c r="CK25" s="399" t="s">
        <v>108</v>
      </c>
      <c r="CL25" s="399" t="s">
        <v>97</v>
      </c>
      <c r="CM25" s="399" t="s">
        <v>98</v>
      </c>
      <c r="CN25" s="399" t="s">
        <v>99</v>
      </c>
      <c r="CO25" s="399" t="s">
        <v>100</v>
      </c>
      <c r="CP25" s="399" t="s">
        <v>101</v>
      </c>
      <c r="CQ25" s="399" t="s">
        <v>102</v>
      </c>
      <c r="CR25" s="399" t="s">
        <v>103</v>
      </c>
      <c r="CS25" s="399" t="s">
        <v>104</v>
      </c>
      <c r="CT25" s="399" t="s">
        <v>105</v>
      </c>
      <c r="CU25" s="399" t="s">
        <v>106</v>
      </c>
      <c r="CV25" s="399" t="s">
        <v>107</v>
      </c>
      <c r="CW25" s="399" t="s">
        <v>108</v>
      </c>
      <c r="CX25" s="399" t="s">
        <v>97</v>
      </c>
      <c r="CY25" s="399" t="s">
        <v>98</v>
      </c>
      <c r="CZ25" s="399" t="s">
        <v>99</v>
      </c>
      <c r="DA25" s="399" t="s">
        <v>100</v>
      </c>
      <c r="DB25" s="399" t="s">
        <v>101</v>
      </c>
      <c r="DC25" s="399" t="s">
        <v>102</v>
      </c>
      <c r="DD25" s="399" t="s">
        <v>103</v>
      </c>
      <c r="DE25" s="399" t="s">
        <v>104</v>
      </c>
      <c r="DF25" s="399" t="s">
        <v>105</v>
      </c>
      <c r="DG25" s="399" t="s">
        <v>106</v>
      </c>
      <c r="DH25" s="399" t="s">
        <v>107</v>
      </c>
      <c r="DI25" s="399" t="s">
        <v>108</v>
      </c>
      <c r="DJ25" s="399" t="s">
        <v>97</v>
      </c>
      <c r="DK25" s="399" t="s">
        <v>98</v>
      </c>
      <c r="DL25" s="399" t="s">
        <v>99</v>
      </c>
      <c r="DM25" s="399" t="s">
        <v>100</v>
      </c>
      <c r="DN25" s="399" t="s">
        <v>101</v>
      </c>
      <c r="DO25" s="399" t="s">
        <v>102</v>
      </c>
      <c r="DP25" s="399" t="s">
        <v>103</v>
      </c>
      <c r="DQ25" s="399" t="s">
        <v>104</v>
      </c>
      <c r="DR25" s="399" t="s">
        <v>105</v>
      </c>
      <c r="DS25" s="399" t="s">
        <v>106</v>
      </c>
      <c r="DT25" s="399" t="s">
        <v>107</v>
      </c>
      <c r="DU25" s="399" t="s">
        <v>108</v>
      </c>
    </row>
    <row r="26" spans="3:126" x14ac:dyDescent="0.25">
      <c r="D26" s="775" t="s">
        <v>111</v>
      </c>
      <c r="E26" s="775"/>
      <c r="F26" s="167">
        <f>F13</f>
        <v>57.973344000000012</v>
      </c>
      <c r="G26" s="167">
        <f>SUM(F13:G13)</f>
        <v>128.42625580733522</v>
      </c>
      <c r="H26" s="167">
        <f>SUM(F13:H13)</f>
        <v>210.02008662483422</v>
      </c>
      <c r="I26" s="167">
        <f>(SUM(G13:I13))+(G19:I19)</f>
        <v>226.35546517083506</v>
      </c>
      <c r="J26" s="167">
        <f t="shared" ref="J26:AO26" si="23">(SUM(H13:J13))+SUM(H19:J19)</f>
        <v>233.95514625170122</v>
      </c>
      <c r="K26" s="167">
        <f t="shared" si="23"/>
        <v>250.60229667945197</v>
      </c>
      <c r="L26" s="167">
        <f t="shared" si="23"/>
        <v>275.23285485108306</v>
      </c>
      <c r="M26" s="167">
        <f t="shared" si="23"/>
        <v>301.57047997834826</v>
      </c>
      <c r="N26" s="167">
        <f t="shared" si="23"/>
        <v>313.18716984259936</v>
      </c>
      <c r="O26" s="167">
        <f t="shared" si="23"/>
        <v>320.67143351294862</v>
      </c>
      <c r="P26" s="167">
        <f t="shared" si="23"/>
        <v>320.63123058431404</v>
      </c>
      <c r="Q26" s="167">
        <f t="shared" si="23"/>
        <v>306.41315786049603</v>
      </c>
      <c r="R26" s="167">
        <f t="shared" si="23"/>
        <v>328.18685022666432</v>
      </c>
      <c r="S26" s="167">
        <f t="shared" si="23"/>
        <v>340.63452130068072</v>
      </c>
      <c r="T26" s="167">
        <f t="shared" si="23"/>
        <v>340.41892413697155</v>
      </c>
      <c r="U26" s="167">
        <f t="shared" si="23"/>
        <v>298.85555406704293</v>
      </c>
      <c r="V26" s="167">
        <f t="shared" si="23"/>
        <v>265.60566235657006</v>
      </c>
      <c r="W26" s="167">
        <f t="shared" si="23"/>
        <v>263.30099046723353</v>
      </c>
      <c r="X26" s="167">
        <f t="shared" si="23"/>
        <v>277.59926476087855</v>
      </c>
      <c r="Y26" s="167">
        <f t="shared" si="23"/>
        <v>298.54666987705195</v>
      </c>
      <c r="Z26" s="167">
        <f t="shared" si="23"/>
        <v>319.12960131158042</v>
      </c>
      <c r="AA26" s="167">
        <f t="shared" si="23"/>
        <v>327.747676599854</v>
      </c>
      <c r="AB26" s="167">
        <f t="shared" si="23"/>
        <v>323.1421307812152</v>
      </c>
      <c r="AC26" s="167">
        <f t="shared" si="23"/>
        <v>307.03992727473013</v>
      </c>
      <c r="AD26" s="167">
        <f t="shared" si="23"/>
        <v>333.66314443653056</v>
      </c>
      <c r="AE26" s="167">
        <f t="shared" si="23"/>
        <v>355.72108912072821</v>
      </c>
      <c r="AF26" s="167">
        <f t="shared" si="23"/>
        <v>358.92923870155948</v>
      </c>
      <c r="AG26" s="167">
        <f t="shared" si="23"/>
        <v>315.45404262573595</v>
      </c>
      <c r="AH26" s="167">
        <f t="shared" si="23"/>
        <v>282.90258425552997</v>
      </c>
      <c r="AI26" s="167">
        <f t="shared" si="23"/>
        <v>281.73205979993992</v>
      </c>
      <c r="AJ26" s="167">
        <f t="shared" si="23"/>
        <v>297.03121329414006</v>
      </c>
      <c r="AK26" s="167">
        <f t="shared" si="23"/>
        <v>319.4449367684457</v>
      </c>
      <c r="AL26" s="167">
        <f t="shared" si="23"/>
        <v>341.46867340339111</v>
      </c>
      <c r="AM26" s="167">
        <f t="shared" si="23"/>
        <v>350.69001396184382</v>
      </c>
      <c r="AN26" s="167">
        <f t="shared" si="23"/>
        <v>345.76207993590032</v>
      </c>
      <c r="AO26" s="167">
        <f t="shared" si="23"/>
        <v>328.53272218396125</v>
      </c>
      <c r="AP26" s="167">
        <f t="shared" ref="AP26:DA26" si="24">(SUM(AN13:AP13))+SUM(AN19:AP19)</f>
        <v>357.01956454708773</v>
      </c>
      <c r="AQ26" s="167">
        <f t="shared" si="24"/>
        <v>380.62156535917916</v>
      </c>
      <c r="AR26" s="167">
        <f t="shared" si="24"/>
        <v>384.05428541066868</v>
      </c>
      <c r="AS26" s="167">
        <f t="shared" si="24"/>
        <v>337.53582560953748</v>
      </c>
      <c r="AT26" s="167">
        <f t="shared" si="24"/>
        <v>302.70576515341713</v>
      </c>
      <c r="AU26" s="167">
        <f t="shared" si="24"/>
        <v>301.45330398593575</v>
      </c>
      <c r="AV26" s="167">
        <f t="shared" si="24"/>
        <v>317.82339822472994</v>
      </c>
      <c r="AW26" s="167">
        <f t="shared" si="24"/>
        <v>341.80608234223689</v>
      </c>
      <c r="AX26" s="167">
        <f t="shared" si="24"/>
        <v>365.3714805416285</v>
      </c>
      <c r="AY26" s="167">
        <f t="shared" si="24"/>
        <v>375.23831493917299</v>
      </c>
      <c r="AZ26" s="167">
        <f t="shared" si="24"/>
        <v>369.96542553141336</v>
      </c>
      <c r="BA26" s="167">
        <f t="shared" si="24"/>
        <v>351.53001273683861</v>
      </c>
      <c r="BB26" s="167">
        <f t="shared" si="24"/>
        <v>382.01093406538394</v>
      </c>
      <c r="BC26" s="167">
        <f t="shared" si="24"/>
        <v>407.26507493432183</v>
      </c>
      <c r="BD26" s="167">
        <f t="shared" si="24"/>
        <v>410.93808538941551</v>
      </c>
      <c r="BE26" s="167">
        <f t="shared" si="24"/>
        <v>361.16333340220513</v>
      </c>
      <c r="BF26" s="167">
        <f t="shared" si="24"/>
        <v>323.8951687141564</v>
      </c>
      <c r="BG26" s="167">
        <f t="shared" si="24"/>
        <v>322.55503526495124</v>
      </c>
      <c r="BH26" s="167">
        <f t="shared" si="24"/>
        <v>340.07103610046101</v>
      </c>
      <c r="BI26" s="167">
        <f t="shared" si="24"/>
        <v>365.73250810619345</v>
      </c>
      <c r="BJ26" s="167">
        <f t="shared" si="24"/>
        <v>390.94748417954247</v>
      </c>
      <c r="BK26" s="167">
        <f t="shared" si="24"/>
        <v>401.50499698491512</v>
      </c>
      <c r="BL26" s="167">
        <f t="shared" si="24"/>
        <v>395.8630053186123</v>
      </c>
      <c r="BM26" s="167">
        <f t="shared" si="24"/>
        <v>376.1371136284173</v>
      </c>
      <c r="BN26" s="167">
        <f t="shared" si="24"/>
        <v>408.75169944996082</v>
      </c>
      <c r="BO26" s="167">
        <f t="shared" si="24"/>
        <v>435.77363017972431</v>
      </c>
      <c r="BP26" s="167">
        <f t="shared" si="24"/>
        <v>439.70375136667462</v>
      </c>
      <c r="BQ26" s="167">
        <f t="shared" si="24"/>
        <v>386.44476674035951</v>
      </c>
      <c r="BR26" s="167">
        <f t="shared" si="24"/>
        <v>346.56783052414733</v>
      </c>
      <c r="BS26" s="167">
        <f t="shared" si="24"/>
        <v>345.13388773349789</v>
      </c>
      <c r="BT26" s="167">
        <f t="shared" si="24"/>
        <v>363.87600862749332</v>
      </c>
      <c r="BU26" s="167">
        <f t="shared" si="24"/>
        <v>391.33378367362701</v>
      </c>
      <c r="BV26" s="167">
        <f t="shared" si="24"/>
        <v>418.31380807211053</v>
      </c>
      <c r="BW26" s="167">
        <f t="shared" si="24"/>
        <v>429.61034677385919</v>
      </c>
      <c r="BX26" s="167">
        <f t="shared" si="24"/>
        <v>423.57341569091523</v>
      </c>
      <c r="BY26" s="167">
        <f t="shared" si="24"/>
        <v>402.46671158240656</v>
      </c>
      <c r="BZ26" s="167">
        <f t="shared" si="24"/>
        <v>437.36431841145804</v>
      </c>
      <c r="CA26" s="167">
        <f t="shared" si="24"/>
        <v>466.27778429230511</v>
      </c>
      <c r="CB26" s="167">
        <f t="shared" si="24"/>
        <v>470.48301396234189</v>
      </c>
      <c r="CC26" s="167">
        <f t="shared" si="24"/>
        <v>413.49590041218471</v>
      </c>
      <c r="CD26" s="167">
        <f t="shared" si="24"/>
        <v>370.82757866083767</v>
      </c>
      <c r="CE26" s="167">
        <f t="shared" si="24"/>
        <v>369.29325987484276</v>
      </c>
      <c r="CF26" s="167">
        <f t="shared" si="24"/>
        <v>389.34732923141792</v>
      </c>
      <c r="CG26" s="167">
        <f t="shared" si="24"/>
        <v>418.72714853078099</v>
      </c>
      <c r="CH26" s="167">
        <f t="shared" si="24"/>
        <v>447.59577463715834</v>
      </c>
      <c r="CI26" s="167">
        <f t="shared" si="24"/>
        <v>459.68307104802943</v>
      </c>
      <c r="CJ26" s="167">
        <f t="shared" si="24"/>
        <v>453.22355478927932</v>
      </c>
      <c r="CK26" s="167">
        <f t="shared" si="24"/>
        <v>430.63938139317509</v>
      </c>
      <c r="CL26" s="167">
        <f t="shared" si="24"/>
        <v>467.97982070026018</v>
      </c>
      <c r="CM26" s="167">
        <f t="shared" si="24"/>
        <v>498.91722919276651</v>
      </c>
      <c r="CN26" s="167">
        <f t="shared" si="24"/>
        <v>503.41682493970598</v>
      </c>
      <c r="CO26" s="167">
        <f t="shared" si="24"/>
        <v>442.44061344103773</v>
      </c>
      <c r="CP26" s="167">
        <f t="shared" si="24"/>
        <v>396.78550916709639</v>
      </c>
      <c r="CQ26" s="167">
        <f t="shared" si="24"/>
        <v>395.14378806608181</v>
      </c>
      <c r="CR26" s="167">
        <f t="shared" si="24"/>
        <v>416.60164227761715</v>
      </c>
      <c r="CS26" s="167">
        <f t="shared" si="24"/>
        <v>448.03804892793562</v>
      </c>
      <c r="CT26" s="167">
        <f t="shared" si="24"/>
        <v>478.92747886175948</v>
      </c>
      <c r="CU26" s="167">
        <f t="shared" si="24"/>
        <v>491.86088602139148</v>
      </c>
      <c r="CV26" s="167">
        <f t="shared" si="24"/>
        <v>484.94920362452893</v>
      </c>
      <c r="CW26" s="167">
        <f t="shared" si="24"/>
        <v>460.78413809069735</v>
      </c>
      <c r="CX26" s="167">
        <f t="shared" si="24"/>
        <v>500.73840814927848</v>
      </c>
      <c r="CY26" s="167">
        <f t="shared" si="24"/>
        <v>533.84143523626017</v>
      </c>
      <c r="CZ26" s="167">
        <f t="shared" si="24"/>
        <v>538.6560026854853</v>
      </c>
      <c r="DA26" s="167">
        <f t="shared" si="24"/>
        <v>473.41145638191028</v>
      </c>
      <c r="DB26" s="167">
        <f t="shared" ref="DB26:DU26" si="25">(SUM(CZ13:DB13))+SUM(CZ19:DB19)</f>
        <v>424.56049480879312</v>
      </c>
      <c r="DC26" s="167">
        <f t="shared" si="25"/>
        <v>422.80385323070755</v>
      </c>
      <c r="DD26" s="167">
        <f t="shared" si="25"/>
        <v>445.76375723705036</v>
      </c>
      <c r="DE26" s="167">
        <f t="shared" si="25"/>
        <v>479.40071235289116</v>
      </c>
      <c r="DF26" s="167">
        <f t="shared" si="25"/>
        <v>512.45240238208248</v>
      </c>
      <c r="DG26" s="167">
        <f t="shared" si="25"/>
        <v>526.29114804288884</v>
      </c>
      <c r="DH26" s="167">
        <f t="shared" si="25"/>
        <v>518.89564787824588</v>
      </c>
      <c r="DI26" s="167">
        <f t="shared" si="25"/>
        <v>493.03902775704614</v>
      </c>
      <c r="DJ26" s="167">
        <f t="shared" si="25"/>
        <v>535.79009671972801</v>
      </c>
      <c r="DK26" s="167">
        <f t="shared" si="25"/>
        <v>571.21033570279837</v>
      </c>
      <c r="DL26" s="167">
        <f t="shared" si="25"/>
        <v>576.36192287346921</v>
      </c>
      <c r="DM26" s="167">
        <f t="shared" si="25"/>
        <v>506.55025832864408</v>
      </c>
      <c r="DN26" s="167">
        <f t="shared" si="25"/>
        <v>454.27972944540863</v>
      </c>
      <c r="DO26" s="167">
        <f t="shared" si="25"/>
        <v>452.40012295685705</v>
      </c>
      <c r="DP26" s="167">
        <f t="shared" si="25"/>
        <v>476.96722024364391</v>
      </c>
      <c r="DQ26" s="167">
        <f t="shared" si="25"/>
        <v>512.95876221759352</v>
      </c>
      <c r="DR26" s="167">
        <f t="shared" si="25"/>
        <v>548.32407054882833</v>
      </c>
      <c r="DS26" s="167">
        <f t="shared" si="25"/>
        <v>563.13152840589123</v>
      </c>
      <c r="DT26" s="167">
        <f t="shared" si="25"/>
        <v>555.21834322972313</v>
      </c>
      <c r="DU26" s="167">
        <f t="shared" si="25"/>
        <v>527.55175970003938</v>
      </c>
    </row>
    <row r="27" spans="3:126" x14ac:dyDescent="0.25">
      <c r="D27" s="775" t="s">
        <v>112</v>
      </c>
      <c r="E27" s="775"/>
      <c r="F27" s="167">
        <f>F14</f>
        <v>16.351456000000002</v>
      </c>
      <c r="G27" s="167">
        <f>SUM(F14:G14)</f>
        <v>36.222790099504806</v>
      </c>
      <c r="H27" s="167">
        <f>SUM(F14:H14)</f>
        <v>59.236434689055805</v>
      </c>
      <c r="I27" s="167">
        <f>SUM(F14:I14)</f>
        <v>75.28986835074835</v>
      </c>
      <c r="J27" s="167">
        <f>(SUM(F14:J14))</f>
        <v>91.343302012440887</v>
      </c>
      <c r="K27" s="167">
        <f>(SUM(F14:K14))</f>
        <v>112.14820334577423</v>
      </c>
      <c r="L27" s="167">
        <f t="shared" ref="L27:BV27" si="26">(SUM(G14:L14))</f>
        <v>118.88666821890624</v>
      </c>
      <c r="M27" s="167">
        <f t="shared" si="26"/>
        <v>123.64269884576886</v>
      </c>
      <c r="N27" s="167">
        <f t="shared" si="26"/>
        <v>125.37308083582067</v>
      </c>
      <c r="O27" s="167">
        <f t="shared" si="26"/>
        <v>132.40956804726017</v>
      </c>
      <c r="P27" s="167">
        <f t="shared" si="26"/>
        <v>138.39998050496897</v>
      </c>
      <c r="Q27" s="167">
        <f t="shared" si="26"/>
        <v>137.14714253730634</v>
      </c>
      <c r="R27" s="167">
        <f t="shared" si="26"/>
        <v>143.28844038417435</v>
      </c>
      <c r="S27" s="167">
        <f t="shared" si="26"/>
        <v>144.99085894427705</v>
      </c>
      <c r="T27" s="167">
        <f t="shared" si="26"/>
        <v>141.29567523809382</v>
      </c>
      <c r="U27" s="167">
        <f t="shared" si="26"/>
        <v>133.87158191630616</v>
      </c>
      <c r="V27" s="167">
        <f t="shared" si="26"/>
        <v>127.49356334824915</v>
      </c>
      <c r="W27" s="167">
        <f t="shared" si="26"/>
        <v>127.89127334257843</v>
      </c>
      <c r="X27" s="167">
        <f t="shared" si="26"/>
        <v>122.42834612016293</v>
      </c>
      <c r="Y27" s="167">
        <f t="shared" si="26"/>
        <v>120.87181957423917</v>
      </c>
      <c r="Z27" s="167">
        <f t="shared" si="26"/>
        <v>125.90791311432784</v>
      </c>
      <c r="AA27" s="167">
        <f t="shared" si="26"/>
        <v>134.010377060568</v>
      </c>
      <c r="AB27" s="167">
        <f t="shared" si="26"/>
        <v>139.08657739031642</v>
      </c>
      <c r="AC27" s="167">
        <f t="shared" si="26"/>
        <v>138.83954438491742</v>
      </c>
      <c r="AD27" s="167">
        <f t="shared" si="26"/>
        <v>146.34865691773294</v>
      </c>
      <c r="AE27" s="167">
        <f t="shared" si="26"/>
        <v>149.7482682937096</v>
      </c>
      <c r="AF27" s="167">
        <f t="shared" si="26"/>
        <v>146.1855937547603</v>
      </c>
      <c r="AG27" s="167">
        <f t="shared" si="26"/>
        <v>139.17973773711427</v>
      </c>
      <c r="AH27" s="167">
        <f t="shared" si="26"/>
        <v>135.20014533595995</v>
      </c>
      <c r="AI27" s="167">
        <f t="shared" si="26"/>
        <v>136.84366247655893</v>
      </c>
      <c r="AJ27" s="167">
        <f t="shared" si="26"/>
        <v>130.99833034857434</v>
      </c>
      <c r="AK27" s="167">
        <f t="shared" si="26"/>
        <v>129.33284694443591</v>
      </c>
      <c r="AL27" s="167">
        <f t="shared" si="26"/>
        <v>134.72146703233079</v>
      </c>
      <c r="AM27" s="167">
        <f t="shared" si="26"/>
        <v>143.39110345480779</v>
      </c>
      <c r="AN27" s="167">
        <f t="shared" si="26"/>
        <v>148.82263780763859</v>
      </c>
      <c r="AO27" s="167">
        <f t="shared" si="26"/>
        <v>148.55831249186167</v>
      </c>
      <c r="AP27" s="167">
        <f t="shared" si="26"/>
        <v>156.59306290197424</v>
      </c>
      <c r="AQ27" s="167">
        <f t="shared" si="26"/>
        <v>160.23064707426929</v>
      </c>
      <c r="AR27" s="167">
        <f t="shared" si="26"/>
        <v>156.41858531759354</v>
      </c>
      <c r="AS27" s="167">
        <f t="shared" si="26"/>
        <v>148.92231937871225</v>
      </c>
      <c r="AT27" s="167">
        <f t="shared" si="26"/>
        <v>144.66415550947715</v>
      </c>
      <c r="AU27" s="167">
        <f t="shared" si="26"/>
        <v>146.42271884991808</v>
      </c>
      <c r="AV27" s="167">
        <f t="shared" si="26"/>
        <v>140.16821347297457</v>
      </c>
      <c r="AW27" s="167">
        <f t="shared" si="26"/>
        <v>138.38614623054644</v>
      </c>
      <c r="AX27" s="167">
        <f t="shared" si="26"/>
        <v>144.15196972459398</v>
      </c>
      <c r="AY27" s="167">
        <f t="shared" si="26"/>
        <v>153.42848069664436</v>
      </c>
      <c r="AZ27" s="167">
        <f t="shared" si="26"/>
        <v>159.24022245417331</v>
      </c>
      <c r="BA27" s="167">
        <f t="shared" si="26"/>
        <v>158.95739436629202</v>
      </c>
      <c r="BB27" s="167">
        <f t="shared" si="26"/>
        <v>167.55457730511245</v>
      </c>
      <c r="BC27" s="167">
        <f t="shared" si="26"/>
        <v>171.44679236946817</v>
      </c>
      <c r="BD27" s="167">
        <f t="shared" si="26"/>
        <v>167.36788628982509</v>
      </c>
      <c r="BE27" s="167">
        <f t="shared" si="26"/>
        <v>159.34688173522213</v>
      </c>
      <c r="BF27" s="167">
        <f t="shared" si="26"/>
        <v>154.79064639514058</v>
      </c>
      <c r="BG27" s="167">
        <f t="shared" si="26"/>
        <v>156.67230916941233</v>
      </c>
      <c r="BH27" s="167">
        <f t="shared" si="26"/>
        <v>149.97998841608279</v>
      </c>
      <c r="BI27" s="167">
        <f t="shared" si="26"/>
        <v>148.07317646668471</v>
      </c>
      <c r="BJ27" s="167">
        <f t="shared" si="26"/>
        <v>154.24260760531558</v>
      </c>
      <c r="BK27" s="167">
        <f t="shared" si="26"/>
        <v>164.16847434540946</v>
      </c>
      <c r="BL27" s="167">
        <f t="shared" si="26"/>
        <v>170.38703802596544</v>
      </c>
      <c r="BM27" s="167">
        <f t="shared" si="26"/>
        <v>170.08441197193247</v>
      </c>
      <c r="BN27" s="167">
        <f t="shared" si="26"/>
        <v>179.28339771647038</v>
      </c>
      <c r="BO27" s="167">
        <f t="shared" si="26"/>
        <v>183.44806783533096</v>
      </c>
      <c r="BP27" s="167">
        <f t="shared" si="26"/>
        <v>179.08363833011288</v>
      </c>
      <c r="BQ27" s="167">
        <f t="shared" si="26"/>
        <v>170.50116345668769</v>
      </c>
      <c r="BR27" s="167">
        <f t="shared" si="26"/>
        <v>165.62599164280039</v>
      </c>
      <c r="BS27" s="167">
        <f t="shared" si="26"/>
        <v>167.63937081127122</v>
      </c>
      <c r="BT27" s="167">
        <f t="shared" si="26"/>
        <v>160.47858760520859</v>
      </c>
      <c r="BU27" s="167">
        <f t="shared" si="26"/>
        <v>158.43829881935264</v>
      </c>
      <c r="BV27" s="167">
        <f t="shared" si="26"/>
        <v>165.03959013768767</v>
      </c>
      <c r="BW27" s="167">
        <f t="shared" ref="BW27:DU27" si="27">(SUM(BR14:BW14))</f>
        <v>175.66026754958813</v>
      </c>
      <c r="BX27" s="167">
        <f t="shared" si="27"/>
        <v>182.31413068778303</v>
      </c>
      <c r="BY27" s="167">
        <f t="shared" si="27"/>
        <v>181.99032080996773</v>
      </c>
      <c r="BZ27" s="167">
        <f t="shared" si="27"/>
        <v>191.83323555662332</v>
      </c>
      <c r="CA27" s="167">
        <f t="shared" si="27"/>
        <v>196.28943258380417</v>
      </c>
      <c r="CB27" s="167">
        <f t="shared" si="27"/>
        <v>191.61949301322079</v>
      </c>
      <c r="CC27" s="167">
        <f t="shared" si="27"/>
        <v>182.43624489865584</v>
      </c>
      <c r="CD27" s="167">
        <f t="shared" si="27"/>
        <v>177.21981105779645</v>
      </c>
      <c r="CE27" s="167">
        <f t="shared" si="27"/>
        <v>179.37412676806019</v>
      </c>
      <c r="CF27" s="167">
        <f t="shared" si="27"/>
        <v>171.71208873757323</v>
      </c>
      <c r="CG27" s="167">
        <f t="shared" si="27"/>
        <v>169.52897973670736</v>
      </c>
      <c r="CH27" s="167">
        <f t="shared" si="27"/>
        <v>176.59236144732583</v>
      </c>
      <c r="CI27" s="167">
        <f t="shared" si="27"/>
        <v>187.95648627805934</v>
      </c>
      <c r="CJ27" s="167">
        <f t="shared" si="27"/>
        <v>195.0761198359279</v>
      </c>
      <c r="CK27" s="167">
        <f t="shared" si="27"/>
        <v>194.72964326666553</v>
      </c>
      <c r="CL27" s="167">
        <f t="shared" si="27"/>
        <v>205.261562045587</v>
      </c>
      <c r="CM27" s="167">
        <f t="shared" si="27"/>
        <v>210.02969286467047</v>
      </c>
      <c r="CN27" s="167">
        <f t="shared" si="27"/>
        <v>205.03285752414627</v>
      </c>
      <c r="CO27" s="167">
        <f t="shared" si="27"/>
        <v>195.20678204156178</v>
      </c>
      <c r="CP27" s="167">
        <f t="shared" si="27"/>
        <v>189.62519783184223</v>
      </c>
      <c r="CQ27" s="167">
        <f t="shared" si="27"/>
        <v>191.93031564182445</v>
      </c>
      <c r="CR27" s="167">
        <f t="shared" si="27"/>
        <v>183.73193494920335</v>
      </c>
      <c r="CS27" s="167">
        <f t="shared" si="27"/>
        <v>181.39600831827687</v>
      </c>
      <c r="CT27" s="167">
        <f t="shared" si="27"/>
        <v>188.95382674863865</v>
      </c>
      <c r="CU27" s="167">
        <f t="shared" si="27"/>
        <v>201.11344031752347</v>
      </c>
      <c r="CV27" s="167">
        <f t="shared" si="27"/>
        <v>208.73144822444283</v>
      </c>
      <c r="CW27" s="167">
        <f t="shared" si="27"/>
        <v>208.36071829533211</v>
      </c>
      <c r="CX27" s="167">
        <f t="shared" si="27"/>
        <v>219.62987138877804</v>
      </c>
      <c r="CY27" s="167">
        <f t="shared" si="27"/>
        <v>224.7317713651974</v>
      </c>
      <c r="CZ27" s="167">
        <f t="shared" si="27"/>
        <v>219.38515755083654</v>
      </c>
      <c r="DA27" s="167">
        <f t="shared" si="27"/>
        <v>208.87125678447111</v>
      </c>
      <c r="DB27" s="167">
        <f t="shared" si="27"/>
        <v>202.89896168007118</v>
      </c>
      <c r="DC27" s="167">
        <f t="shared" si="27"/>
        <v>205.36543773675217</v>
      </c>
      <c r="DD27" s="167">
        <f t="shared" si="27"/>
        <v>196.59317039564758</v>
      </c>
      <c r="DE27" s="167">
        <f t="shared" si="27"/>
        <v>194.09372890055624</v>
      </c>
      <c r="DF27" s="167">
        <f t="shared" si="27"/>
        <v>202.18059462104335</v>
      </c>
      <c r="DG27" s="167">
        <f t="shared" si="27"/>
        <v>215.19138113975012</v>
      </c>
      <c r="DH27" s="167">
        <f t="shared" si="27"/>
        <v>223.34264960015383</v>
      </c>
      <c r="DI27" s="167">
        <f t="shared" si="27"/>
        <v>222.94596857600536</v>
      </c>
      <c r="DJ27" s="167">
        <f t="shared" si="27"/>
        <v>235.00396238599251</v>
      </c>
      <c r="DK27" s="167">
        <f t="shared" si="27"/>
        <v>240.4629953607612</v>
      </c>
      <c r="DL27" s="167">
        <f t="shared" si="27"/>
        <v>234.74211857939508</v>
      </c>
      <c r="DM27" s="167">
        <f t="shared" si="27"/>
        <v>223.49224475938408</v>
      </c>
      <c r="DN27" s="167">
        <f t="shared" si="27"/>
        <v>217.10188899767616</v>
      </c>
      <c r="DO27" s="167">
        <f t="shared" si="27"/>
        <v>219.74101837832478</v>
      </c>
      <c r="DP27" s="167">
        <f t="shared" si="27"/>
        <v>210.3546923233429</v>
      </c>
      <c r="DQ27" s="167">
        <f t="shared" si="27"/>
        <v>207.68028992359518</v>
      </c>
      <c r="DR27" s="167">
        <f t="shared" si="27"/>
        <v>216.3332362445164</v>
      </c>
      <c r="DS27" s="167">
        <f t="shared" si="27"/>
        <v>230.25477781953262</v>
      </c>
      <c r="DT27" s="167">
        <f t="shared" si="27"/>
        <v>238.97663507216461</v>
      </c>
      <c r="DU27" s="167">
        <f t="shared" si="27"/>
        <v>238.55218637632575</v>
      </c>
    </row>
    <row r="28" spans="3:126" x14ac:dyDescent="0.25">
      <c r="D28" s="775" t="s">
        <v>114</v>
      </c>
      <c r="E28" s="775"/>
      <c r="F28" s="167">
        <f>SUM(F26:F27)</f>
        <v>74.32480000000001</v>
      </c>
      <c r="G28" s="167">
        <f>SUM(G26:G27)</f>
        <v>164.64904590684003</v>
      </c>
      <c r="H28" s="167">
        <f t="shared" ref="H28:BS28" si="28">SUM(H26:H27)</f>
        <v>269.25652131389</v>
      </c>
      <c r="I28" s="167">
        <f>SUM(I26:I27)</f>
        <v>301.64533352158344</v>
      </c>
      <c r="J28" s="167">
        <f t="shared" si="28"/>
        <v>325.29844826414211</v>
      </c>
      <c r="K28" s="167">
        <f t="shared" si="28"/>
        <v>362.75050002522619</v>
      </c>
      <c r="L28" s="167">
        <f t="shared" si="28"/>
        <v>394.11952306998933</v>
      </c>
      <c r="M28" s="167">
        <f t="shared" si="28"/>
        <v>425.21317882411711</v>
      </c>
      <c r="N28" s="167">
        <f t="shared" si="28"/>
        <v>438.56025067842006</v>
      </c>
      <c r="O28" s="167">
        <f t="shared" si="28"/>
        <v>453.08100156020879</v>
      </c>
      <c r="P28" s="167">
        <f t="shared" si="28"/>
        <v>459.03121108928303</v>
      </c>
      <c r="Q28" s="167">
        <f t="shared" si="28"/>
        <v>443.56030039780239</v>
      </c>
      <c r="R28" s="167">
        <f t="shared" si="28"/>
        <v>471.47529061083867</v>
      </c>
      <c r="S28" s="167">
        <f t="shared" si="28"/>
        <v>485.6253802449578</v>
      </c>
      <c r="T28" s="167">
        <f t="shared" si="28"/>
        <v>481.7145993750654</v>
      </c>
      <c r="U28" s="167">
        <f t="shared" si="28"/>
        <v>432.72713598334906</v>
      </c>
      <c r="V28" s="167">
        <f t="shared" si="28"/>
        <v>393.09922570481922</v>
      </c>
      <c r="W28" s="167">
        <f t="shared" si="28"/>
        <v>391.19226380981195</v>
      </c>
      <c r="X28" s="167">
        <f t="shared" si="28"/>
        <v>400.02761088104148</v>
      </c>
      <c r="Y28" s="167">
        <f t="shared" si="28"/>
        <v>419.41848945129112</v>
      </c>
      <c r="Z28" s="167">
        <f t="shared" si="28"/>
        <v>445.03751442590828</v>
      </c>
      <c r="AA28" s="167">
        <f t="shared" si="28"/>
        <v>461.75805366042198</v>
      </c>
      <c r="AB28" s="167">
        <f t="shared" si="28"/>
        <v>462.22870817153159</v>
      </c>
      <c r="AC28" s="167">
        <f t="shared" si="28"/>
        <v>445.87947165964755</v>
      </c>
      <c r="AD28" s="167">
        <f t="shared" si="28"/>
        <v>480.01180135426353</v>
      </c>
      <c r="AE28" s="167">
        <f t="shared" si="28"/>
        <v>505.46935741443781</v>
      </c>
      <c r="AF28" s="167">
        <f t="shared" si="28"/>
        <v>505.11483245631979</v>
      </c>
      <c r="AG28" s="167">
        <f t="shared" si="28"/>
        <v>454.63378036285019</v>
      </c>
      <c r="AH28" s="167">
        <f t="shared" si="28"/>
        <v>418.10272959148995</v>
      </c>
      <c r="AI28" s="167">
        <f t="shared" si="28"/>
        <v>418.57572227649882</v>
      </c>
      <c r="AJ28" s="167">
        <f t="shared" si="28"/>
        <v>428.02954364271443</v>
      </c>
      <c r="AK28" s="167">
        <f t="shared" si="28"/>
        <v>448.77778371288161</v>
      </c>
      <c r="AL28" s="167">
        <f t="shared" si="28"/>
        <v>476.1901404357219</v>
      </c>
      <c r="AM28" s="167">
        <f t="shared" si="28"/>
        <v>494.08111741665164</v>
      </c>
      <c r="AN28" s="167">
        <f t="shared" si="28"/>
        <v>494.58471774353893</v>
      </c>
      <c r="AO28" s="167">
        <f t="shared" si="28"/>
        <v>477.09103467582293</v>
      </c>
      <c r="AP28" s="167">
        <f t="shared" si="28"/>
        <v>513.61262744906196</v>
      </c>
      <c r="AQ28" s="167">
        <f t="shared" si="28"/>
        <v>540.85221243344847</v>
      </c>
      <c r="AR28" s="167">
        <f>SUM(AR26:AR27)</f>
        <v>540.47287072826225</v>
      </c>
      <c r="AS28" s="167">
        <f t="shared" si="28"/>
        <v>486.45814498824973</v>
      </c>
      <c r="AT28" s="167">
        <f t="shared" si="28"/>
        <v>447.36992066289429</v>
      </c>
      <c r="AU28" s="167">
        <f t="shared" si="28"/>
        <v>447.87602283585386</v>
      </c>
      <c r="AV28" s="167">
        <f t="shared" si="28"/>
        <v>457.99161169770451</v>
      </c>
      <c r="AW28" s="167">
        <f t="shared" si="28"/>
        <v>480.19222857278334</v>
      </c>
      <c r="AX28" s="167">
        <f t="shared" si="28"/>
        <v>509.52345026622248</v>
      </c>
      <c r="AY28" s="167">
        <f t="shared" si="28"/>
        <v>528.66679563581738</v>
      </c>
      <c r="AZ28" s="167">
        <f t="shared" si="28"/>
        <v>529.20564798558667</v>
      </c>
      <c r="BA28" s="167">
        <f t="shared" si="28"/>
        <v>510.48740710313064</v>
      </c>
      <c r="BB28" s="167">
        <f t="shared" si="28"/>
        <v>549.56551137049632</v>
      </c>
      <c r="BC28" s="167">
        <f t="shared" si="28"/>
        <v>578.71186730378997</v>
      </c>
      <c r="BD28" s="167">
        <f t="shared" si="28"/>
        <v>578.30597167924066</v>
      </c>
      <c r="BE28" s="167">
        <f t="shared" si="28"/>
        <v>520.51021513742728</v>
      </c>
      <c r="BF28" s="167">
        <f t="shared" si="28"/>
        <v>478.68581510929698</v>
      </c>
      <c r="BG28" s="167">
        <f t="shared" si="28"/>
        <v>479.22734443436354</v>
      </c>
      <c r="BH28" s="167">
        <f t="shared" si="28"/>
        <v>490.05102451654381</v>
      </c>
      <c r="BI28" s="167">
        <f t="shared" si="28"/>
        <v>513.80568457287814</v>
      </c>
      <c r="BJ28" s="167">
        <f t="shared" si="28"/>
        <v>545.19009178485805</v>
      </c>
      <c r="BK28" s="167">
        <f t="shared" si="28"/>
        <v>565.67347133032456</v>
      </c>
      <c r="BL28" s="167">
        <f t="shared" si="28"/>
        <v>566.25004334457776</v>
      </c>
      <c r="BM28" s="167">
        <f t="shared" si="28"/>
        <v>546.22152560034976</v>
      </c>
      <c r="BN28" s="167">
        <f t="shared" si="28"/>
        <v>588.03509716643123</v>
      </c>
      <c r="BO28" s="167">
        <f t="shared" si="28"/>
        <v>619.22169801505527</v>
      </c>
      <c r="BP28" s="167">
        <f t="shared" si="28"/>
        <v>618.7873896967875</v>
      </c>
      <c r="BQ28" s="167">
        <f t="shared" si="28"/>
        <v>556.94593019704723</v>
      </c>
      <c r="BR28" s="167">
        <f t="shared" si="28"/>
        <v>512.19382216694771</v>
      </c>
      <c r="BS28" s="167">
        <f t="shared" si="28"/>
        <v>512.77325854476908</v>
      </c>
      <c r="BT28" s="167">
        <f t="shared" ref="BT28:DU28" si="29">SUM(BT26:BT27)</f>
        <v>524.35459623270185</v>
      </c>
      <c r="BU28" s="167">
        <f t="shared" si="29"/>
        <v>549.77208249297962</v>
      </c>
      <c r="BV28" s="167">
        <f t="shared" si="29"/>
        <v>583.35339820979823</v>
      </c>
      <c r="BW28" s="167">
        <f t="shared" si="29"/>
        <v>605.27061432344726</v>
      </c>
      <c r="BX28" s="167">
        <f t="shared" si="29"/>
        <v>605.88754637869829</v>
      </c>
      <c r="BY28" s="167">
        <f t="shared" si="29"/>
        <v>584.45703239237423</v>
      </c>
      <c r="BZ28" s="167">
        <f t="shared" si="29"/>
        <v>629.19755396808137</v>
      </c>
      <c r="CA28" s="167">
        <f t="shared" si="29"/>
        <v>662.56721687610934</v>
      </c>
      <c r="CB28" s="167">
        <f t="shared" si="29"/>
        <v>662.10250697556262</v>
      </c>
      <c r="CC28" s="167">
        <f t="shared" si="29"/>
        <v>595.9321453108405</v>
      </c>
      <c r="CD28" s="167">
        <f t="shared" si="29"/>
        <v>548.04738971863412</v>
      </c>
      <c r="CE28" s="167">
        <f t="shared" si="29"/>
        <v>548.66738664290301</v>
      </c>
      <c r="CF28" s="167">
        <f t="shared" si="29"/>
        <v>561.05941796899117</v>
      </c>
      <c r="CG28" s="167">
        <f t="shared" si="29"/>
        <v>588.25612826748829</v>
      </c>
      <c r="CH28" s="167">
        <f t="shared" si="29"/>
        <v>624.1881360844842</v>
      </c>
      <c r="CI28" s="167">
        <f t="shared" si="29"/>
        <v>647.63955732608883</v>
      </c>
      <c r="CJ28" s="167">
        <f t="shared" si="29"/>
        <v>648.29967462520722</v>
      </c>
      <c r="CK28" s="167">
        <f t="shared" si="29"/>
        <v>625.36902465984065</v>
      </c>
      <c r="CL28" s="167">
        <f t="shared" si="29"/>
        <v>673.2413827458472</v>
      </c>
      <c r="CM28" s="167">
        <f t="shared" si="29"/>
        <v>708.94692205743695</v>
      </c>
      <c r="CN28" s="167">
        <f t="shared" si="29"/>
        <v>708.44968246385224</v>
      </c>
      <c r="CO28" s="167">
        <f t="shared" si="29"/>
        <v>637.64739548259945</v>
      </c>
      <c r="CP28" s="167">
        <f t="shared" si="29"/>
        <v>586.41070699893862</v>
      </c>
      <c r="CQ28" s="167">
        <f t="shared" si="29"/>
        <v>587.07410370790626</v>
      </c>
      <c r="CR28" s="167">
        <f t="shared" si="29"/>
        <v>600.33357722682047</v>
      </c>
      <c r="CS28" s="167">
        <f t="shared" si="29"/>
        <v>629.43405724621243</v>
      </c>
      <c r="CT28" s="167">
        <f t="shared" si="29"/>
        <v>667.88130561039816</v>
      </c>
      <c r="CU28" s="167">
        <f t="shared" si="29"/>
        <v>692.97432633891492</v>
      </c>
      <c r="CV28" s="167">
        <f t="shared" si="29"/>
        <v>693.68065184897182</v>
      </c>
      <c r="CW28" s="167">
        <f t="shared" si="29"/>
        <v>669.14485638602946</v>
      </c>
      <c r="CX28" s="167">
        <f t="shared" si="29"/>
        <v>720.36827953805653</v>
      </c>
      <c r="CY28" s="167">
        <f t="shared" si="29"/>
        <v>758.57320660145751</v>
      </c>
      <c r="CZ28" s="167">
        <f t="shared" si="29"/>
        <v>758.04116023632184</v>
      </c>
      <c r="DA28" s="167">
        <f t="shared" si="29"/>
        <v>682.28271316638143</v>
      </c>
      <c r="DB28" s="167">
        <f t="shared" si="29"/>
        <v>627.45945648886436</v>
      </c>
      <c r="DC28" s="167">
        <f t="shared" si="29"/>
        <v>628.16929096745969</v>
      </c>
      <c r="DD28" s="167">
        <f t="shared" si="29"/>
        <v>642.35692763269799</v>
      </c>
      <c r="DE28" s="167">
        <f t="shared" si="29"/>
        <v>673.49444125344735</v>
      </c>
      <c r="DF28" s="167">
        <f t="shared" si="29"/>
        <v>714.63299700312587</v>
      </c>
      <c r="DG28" s="167">
        <f t="shared" si="29"/>
        <v>741.48252918263893</v>
      </c>
      <c r="DH28" s="167">
        <f t="shared" si="29"/>
        <v>742.23829747839977</v>
      </c>
      <c r="DI28" s="167">
        <f t="shared" si="29"/>
        <v>715.98499633305153</v>
      </c>
      <c r="DJ28" s="167">
        <f t="shared" si="29"/>
        <v>770.79405910572052</v>
      </c>
      <c r="DK28" s="167">
        <f t="shared" si="29"/>
        <v>811.67333106355954</v>
      </c>
      <c r="DL28" s="167">
        <f t="shared" si="29"/>
        <v>811.10404145286429</v>
      </c>
      <c r="DM28" s="167">
        <f t="shared" si="29"/>
        <v>730.04250308802818</v>
      </c>
      <c r="DN28" s="167">
        <f t="shared" si="29"/>
        <v>671.38161844308479</v>
      </c>
      <c r="DO28" s="167">
        <f t="shared" si="29"/>
        <v>672.14114133518183</v>
      </c>
      <c r="DP28" s="167">
        <f t="shared" si="29"/>
        <v>687.32191256698684</v>
      </c>
      <c r="DQ28" s="167">
        <f t="shared" si="29"/>
        <v>720.6390521411887</v>
      </c>
      <c r="DR28" s="167">
        <f t="shared" si="29"/>
        <v>764.65730679334479</v>
      </c>
      <c r="DS28" s="167">
        <f t="shared" si="29"/>
        <v>793.38630622542382</v>
      </c>
      <c r="DT28" s="167">
        <f t="shared" si="29"/>
        <v>794.19497830188777</v>
      </c>
      <c r="DU28" s="167">
        <f t="shared" si="29"/>
        <v>766.10394607636511</v>
      </c>
      <c r="DV28" s="609"/>
    </row>
    <row r="29" spans="3:126" x14ac:dyDescent="0.25">
      <c r="D29" s="164"/>
      <c r="E29" s="165"/>
      <c r="F29" s="608"/>
      <c r="G29" s="608"/>
      <c r="H29" s="608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</row>
    <row r="30" spans="3:126" ht="12.75" customHeight="1" x14ac:dyDescent="0.25">
      <c r="D30" s="784" t="s">
        <v>116</v>
      </c>
      <c r="E30" s="785"/>
      <c r="F30" s="608"/>
      <c r="G30" s="608"/>
      <c r="H30" s="608"/>
      <c r="I30" s="25"/>
      <c r="J30" s="25"/>
      <c r="K30" s="25"/>
      <c r="L30" s="25"/>
      <c r="M30" s="25"/>
      <c r="N30" s="25"/>
      <c r="O30" s="25"/>
      <c r="P30" s="25"/>
      <c r="Q30" s="25"/>
      <c r="R30" s="784" t="s">
        <v>116</v>
      </c>
      <c r="S30" s="78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784" t="s">
        <v>116</v>
      </c>
      <c r="AE30" s="78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784" t="s">
        <v>116</v>
      </c>
      <c r="AQ30" s="78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784" t="s">
        <v>116</v>
      </c>
      <c r="BC30" s="78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784" t="s">
        <v>116</v>
      </c>
      <c r="BO30" s="78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784" t="s">
        <v>116</v>
      </c>
      <c r="CA30" s="78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784" t="s">
        <v>116</v>
      </c>
      <c r="CM30" s="78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784" t="s">
        <v>116</v>
      </c>
      <c r="CY30" s="78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784" t="s">
        <v>116</v>
      </c>
      <c r="DK30" s="785"/>
      <c r="DL30" s="25"/>
      <c r="DM30" s="25"/>
      <c r="DN30" s="25"/>
      <c r="DO30" s="25"/>
      <c r="DP30" s="25"/>
      <c r="DQ30" s="25"/>
      <c r="DR30" s="25"/>
      <c r="DS30" s="25"/>
      <c r="DT30" s="25"/>
      <c r="DU30" s="25"/>
    </row>
    <row r="31" spans="3:126" x14ac:dyDescent="0.25">
      <c r="D31" s="166"/>
      <c r="E31" s="166"/>
      <c r="F31" s="608"/>
      <c r="G31" s="608"/>
      <c r="H31" s="608"/>
      <c r="I31" s="25"/>
      <c r="J31" s="25"/>
      <c r="K31" s="25"/>
      <c r="L31" s="25"/>
      <c r="M31" s="25"/>
      <c r="N31" s="25"/>
      <c r="O31" s="25"/>
      <c r="P31" s="25"/>
      <c r="Q31" s="25"/>
      <c r="R31" s="166"/>
      <c r="S31" s="166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166"/>
      <c r="AE31" s="166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166"/>
      <c r="AQ31" s="166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166"/>
      <c r="BC31" s="166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166"/>
      <c r="BO31" s="166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166"/>
      <c r="CA31" s="166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166"/>
      <c r="CM31" s="166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166"/>
      <c r="CY31" s="166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166"/>
      <c r="DK31" s="166"/>
      <c r="DL31" s="25"/>
      <c r="DM31" s="25"/>
      <c r="DN31" s="25"/>
      <c r="DO31" s="25"/>
      <c r="DP31" s="25"/>
      <c r="DQ31" s="25"/>
      <c r="DR31" s="25"/>
      <c r="DS31" s="25"/>
      <c r="DT31" s="25"/>
      <c r="DU31" s="25"/>
    </row>
    <row r="32" spans="3:126" ht="15.75" customHeight="1" x14ac:dyDescent="0.25">
      <c r="C32" s="315"/>
      <c r="D32" s="780" t="s">
        <v>109</v>
      </c>
      <c r="E32" s="780"/>
      <c r="F32" s="399" t="s">
        <v>97</v>
      </c>
      <c r="G32" s="399" t="s">
        <v>98</v>
      </c>
      <c r="H32" s="399" t="s">
        <v>99</v>
      </c>
      <c r="I32" s="399" t="s">
        <v>100</v>
      </c>
      <c r="J32" s="399" t="s">
        <v>101</v>
      </c>
      <c r="K32" s="399" t="s">
        <v>102</v>
      </c>
      <c r="L32" s="399" t="s">
        <v>103</v>
      </c>
      <c r="M32" s="399" t="s">
        <v>104</v>
      </c>
      <c r="N32" s="399" t="s">
        <v>105</v>
      </c>
      <c r="O32" s="399" t="s">
        <v>106</v>
      </c>
      <c r="P32" s="399" t="s">
        <v>107</v>
      </c>
      <c r="Q32" s="399" t="s">
        <v>108</v>
      </c>
      <c r="R32" s="399" t="s">
        <v>97</v>
      </c>
      <c r="S32" s="399" t="s">
        <v>98</v>
      </c>
      <c r="T32" s="399" t="s">
        <v>99</v>
      </c>
      <c r="U32" s="399" t="s">
        <v>100</v>
      </c>
      <c r="V32" s="399" t="s">
        <v>101</v>
      </c>
      <c r="W32" s="399" t="s">
        <v>102</v>
      </c>
      <c r="X32" s="399" t="s">
        <v>103</v>
      </c>
      <c r="Y32" s="399" t="s">
        <v>104</v>
      </c>
      <c r="Z32" s="399" t="s">
        <v>105</v>
      </c>
      <c r="AA32" s="399" t="s">
        <v>106</v>
      </c>
      <c r="AB32" s="399" t="s">
        <v>107</v>
      </c>
      <c r="AC32" s="399" t="s">
        <v>108</v>
      </c>
      <c r="AD32" s="399" t="s">
        <v>97</v>
      </c>
      <c r="AE32" s="399" t="s">
        <v>98</v>
      </c>
      <c r="AF32" s="399" t="s">
        <v>99</v>
      </c>
      <c r="AG32" s="399" t="s">
        <v>100</v>
      </c>
      <c r="AH32" s="399" t="s">
        <v>101</v>
      </c>
      <c r="AI32" s="399" t="s">
        <v>102</v>
      </c>
      <c r="AJ32" s="399" t="s">
        <v>103</v>
      </c>
      <c r="AK32" s="399" t="s">
        <v>104</v>
      </c>
      <c r="AL32" s="399" t="s">
        <v>105</v>
      </c>
      <c r="AM32" s="399" t="s">
        <v>106</v>
      </c>
      <c r="AN32" s="399" t="s">
        <v>107</v>
      </c>
      <c r="AO32" s="399" t="s">
        <v>108</v>
      </c>
      <c r="AP32" s="399" t="s">
        <v>97</v>
      </c>
      <c r="AQ32" s="399" t="s">
        <v>98</v>
      </c>
      <c r="AR32" s="399" t="s">
        <v>99</v>
      </c>
      <c r="AS32" s="399" t="s">
        <v>100</v>
      </c>
      <c r="AT32" s="399" t="s">
        <v>101</v>
      </c>
      <c r="AU32" s="399" t="s">
        <v>102</v>
      </c>
      <c r="AV32" s="399" t="s">
        <v>103</v>
      </c>
      <c r="AW32" s="399" t="s">
        <v>104</v>
      </c>
      <c r="AX32" s="399" t="s">
        <v>105</v>
      </c>
      <c r="AY32" s="399" t="s">
        <v>106</v>
      </c>
      <c r="AZ32" s="399" t="s">
        <v>107</v>
      </c>
      <c r="BA32" s="399" t="s">
        <v>108</v>
      </c>
      <c r="BB32" s="399" t="s">
        <v>97</v>
      </c>
      <c r="BC32" s="399" t="s">
        <v>98</v>
      </c>
      <c r="BD32" s="399" t="s">
        <v>99</v>
      </c>
      <c r="BE32" s="399" t="s">
        <v>100</v>
      </c>
      <c r="BF32" s="399" t="s">
        <v>101</v>
      </c>
      <c r="BG32" s="399" t="s">
        <v>102</v>
      </c>
      <c r="BH32" s="399" t="s">
        <v>103</v>
      </c>
      <c r="BI32" s="399" t="s">
        <v>104</v>
      </c>
      <c r="BJ32" s="399" t="s">
        <v>105</v>
      </c>
      <c r="BK32" s="399" t="s">
        <v>106</v>
      </c>
      <c r="BL32" s="399" t="s">
        <v>107</v>
      </c>
      <c r="BM32" s="399" t="s">
        <v>108</v>
      </c>
      <c r="BN32" s="399" t="s">
        <v>97</v>
      </c>
      <c r="BO32" s="399" t="s">
        <v>98</v>
      </c>
      <c r="BP32" s="399" t="s">
        <v>99</v>
      </c>
      <c r="BQ32" s="399" t="s">
        <v>100</v>
      </c>
      <c r="BR32" s="399" t="s">
        <v>101</v>
      </c>
      <c r="BS32" s="399" t="s">
        <v>102</v>
      </c>
      <c r="BT32" s="399" t="s">
        <v>103</v>
      </c>
      <c r="BU32" s="399" t="s">
        <v>104</v>
      </c>
      <c r="BV32" s="399" t="s">
        <v>105</v>
      </c>
      <c r="BW32" s="399" t="s">
        <v>106</v>
      </c>
      <c r="BX32" s="399" t="s">
        <v>107</v>
      </c>
      <c r="BY32" s="399" t="s">
        <v>108</v>
      </c>
      <c r="BZ32" s="399" t="s">
        <v>97</v>
      </c>
      <c r="CA32" s="399" t="s">
        <v>98</v>
      </c>
      <c r="CB32" s="399" t="s">
        <v>99</v>
      </c>
      <c r="CC32" s="399" t="s">
        <v>100</v>
      </c>
      <c r="CD32" s="399" t="s">
        <v>101</v>
      </c>
      <c r="CE32" s="399" t="s">
        <v>102</v>
      </c>
      <c r="CF32" s="399" t="s">
        <v>103</v>
      </c>
      <c r="CG32" s="399" t="s">
        <v>104</v>
      </c>
      <c r="CH32" s="399" t="s">
        <v>105</v>
      </c>
      <c r="CI32" s="399" t="s">
        <v>106</v>
      </c>
      <c r="CJ32" s="399" t="s">
        <v>107</v>
      </c>
      <c r="CK32" s="399" t="s">
        <v>108</v>
      </c>
      <c r="CL32" s="399" t="s">
        <v>97</v>
      </c>
      <c r="CM32" s="399" t="s">
        <v>98</v>
      </c>
      <c r="CN32" s="399" t="s">
        <v>99</v>
      </c>
      <c r="CO32" s="399" t="s">
        <v>100</v>
      </c>
      <c r="CP32" s="399" t="s">
        <v>101</v>
      </c>
      <c r="CQ32" s="399" t="s">
        <v>102</v>
      </c>
      <c r="CR32" s="399" t="s">
        <v>103</v>
      </c>
      <c r="CS32" s="399" t="s">
        <v>104</v>
      </c>
      <c r="CT32" s="399" t="s">
        <v>105</v>
      </c>
      <c r="CU32" s="399" t="s">
        <v>106</v>
      </c>
      <c r="CV32" s="399" t="s">
        <v>107</v>
      </c>
      <c r="CW32" s="399" t="s">
        <v>108</v>
      </c>
      <c r="CX32" s="399" t="s">
        <v>97</v>
      </c>
      <c r="CY32" s="399" t="s">
        <v>98</v>
      </c>
      <c r="CZ32" s="399" t="s">
        <v>99</v>
      </c>
      <c r="DA32" s="399" t="s">
        <v>100</v>
      </c>
      <c r="DB32" s="399" t="s">
        <v>101</v>
      </c>
      <c r="DC32" s="399" t="s">
        <v>102</v>
      </c>
      <c r="DD32" s="399" t="s">
        <v>103</v>
      </c>
      <c r="DE32" s="399" t="s">
        <v>104</v>
      </c>
      <c r="DF32" s="399" t="s">
        <v>105</v>
      </c>
      <c r="DG32" s="399" t="s">
        <v>106</v>
      </c>
      <c r="DH32" s="399" t="s">
        <v>107</v>
      </c>
      <c r="DI32" s="399" t="s">
        <v>108</v>
      </c>
      <c r="DJ32" s="399" t="s">
        <v>97</v>
      </c>
      <c r="DK32" s="399" t="s">
        <v>98</v>
      </c>
      <c r="DL32" s="399" t="s">
        <v>99</v>
      </c>
      <c r="DM32" s="399" t="s">
        <v>100</v>
      </c>
      <c r="DN32" s="399" t="s">
        <v>101</v>
      </c>
      <c r="DO32" s="399" t="s">
        <v>102</v>
      </c>
      <c r="DP32" s="399" t="s">
        <v>103</v>
      </c>
      <c r="DQ32" s="399" t="s">
        <v>104</v>
      </c>
      <c r="DR32" s="399" t="s">
        <v>105</v>
      </c>
      <c r="DS32" s="399" t="s">
        <v>106</v>
      </c>
      <c r="DT32" s="399" t="s">
        <v>107</v>
      </c>
      <c r="DU32" s="399" t="s">
        <v>108</v>
      </c>
    </row>
    <row r="33" spans="3:125" x14ac:dyDescent="0.25">
      <c r="C33" s="779" t="s">
        <v>117</v>
      </c>
      <c r="D33" s="395" t="s">
        <v>111</v>
      </c>
      <c r="E33" s="187"/>
      <c r="F33" s="167">
        <f t="shared" ref="F33:AK33" si="30">F13</f>
        <v>57.973344000000012</v>
      </c>
      <c r="G33" s="167">
        <f t="shared" si="30"/>
        <v>70.452911807335212</v>
      </c>
      <c r="H33" s="167">
        <f t="shared" si="30"/>
        <v>81.593830817498997</v>
      </c>
      <c r="I33" s="167">
        <f t="shared" si="30"/>
        <v>56.916719346000832</v>
      </c>
      <c r="J33" s="167">
        <f t="shared" si="30"/>
        <v>56.916719346000832</v>
      </c>
      <c r="K33" s="167">
        <f t="shared" si="30"/>
        <v>73.762832000000031</v>
      </c>
      <c r="L33" s="167">
        <f t="shared" si="30"/>
        <v>81.86426491383169</v>
      </c>
      <c r="M33" s="167">
        <f t="shared" si="30"/>
        <v>87.315202211666289</v>
      </c>
      <c r="N33" s="167">
        <f t="shared" si="30"/>
        <v>87.728821509500889</v>
      </c>
      <c r="O33" s="167">
        <f t="shared" si="30"/>
        <v>81.86426491383169</v>
      </c>
      <c r="P33" s="167">
        <f t="shared" si="30"/>
        <v>78.155454423332031</v>
      </c>
      <c r="Q33" s="167">
        <f t="shared" si="30"/>
        <v>69.320951932832628</v>
      </c>
      <c r="R33" s="167">
        <f t="shared" si="30"/>
        <v>103.63795728000001</v>
      </c>
      <c r="S33" s="167">
        <f t="shared" si="30"/>
        <v>93.351049833848691</v>
      </c>
      <c r="T33" s="167">
        <f t="shared" si="30"/>
        <v>74.627715642123945</v>
      </c>
      <c r="U33" s="167">
        <f t="shared" si="30"/>
        <v>55.542479500220871</v>
      </c>
      <c r="V33" s="167">
        <f t="shared" si="30"/>
        <v>55.542479500220871</v>
      </c>
      <c r="W33" s="167">
        <f t="shared" si="30"/>
        <v>70.731014640000012</v>
      </c>
      <c r="X33" s="167">
        <f t="shared" si="30"/>
        <v>84.269397127799607</v>
      </c>
      <c r="Y33" s="167">
        <f t="shared" si="30"/>
        <v>87.832455716482627</v>
      </c>
      <c r="Z33" s="167">
        <f t="shared" si="30"/>
        <v>92.482956375165656</v>
      </c>
      <c r="AA33" s="167">
        <f t="shared" si="30"/>
        <v>84.269397127799607</v>
      </c>
      <c r="AB33" s="167">
        <f t="shared" si="30"/>
        <v>73.539917032965249</v>
      </c>
      <c r="AC33" s="167">
        <f t="shared" si="30"/>
        <v>69.855170348130898</v>
      </c>
      <c r="AD33" s="167">
        <f t="shared" si="30"/>
        <v>110.89261428960005</v>
      </c>
      <c r="AE33" s="167">
        <f t="shared" si="30"/>
        <v>99.885623322218109</v>
      </c>
      <c r="AF33" s="167">
        <f t="shared" si="30"/>
        <v>79.851655737072633</v>
      </c>
      <c r="AG33" s="167">
        <f t="shared" si="30"/>
        <v>59.430453065236328</v>
      </c>
      <c r="AH33" s="167">
        <f t="shared" si="30"/>
        <v>59.430453065236328</v>
      </c>
      <c r="AI33" s="167">
        <f t="shared" si="30"/>
        <v>75.682185664800031</v>
      </c>
      <c r="AJ33" s="167">
        <f t="shared" si="30"/>
        <v>90.16825492674559</v>
      </c>
      <c r="AK33" s="167">
        <f t="shared" si="30"/>
        <v>93.980727616636429</v>
      </c>
      <c r="AL33" s="167">
        <f t="shared" ref="AL33:BQ33" si="31">AL13</f>
        <v>98.95676332142726</v>
      </c>
      <c r="AM33" s="167">
        <f t="shared" si="31"/>
        <v>90.16825492674559</v>
      </c>
      <c r="AN33" s="167">
        <f t="shared" si="31"/>
        <v>78.687711225272821</v>
      </c>
      <c r="AO33" s="167">
        <f t="shared" si="31"/>
        <v>74.745032272500069</v>
      </c>
      <c r="AP33" s="167">
        <f t="shared" si="31"/>
        <v>118.65509728987205</v>
      </c>
      <c r="AQ33" s="167">
        <f t="shared" si="31"/>
        <v>106.87761695477339</v>
      </c>
      <c r="AR33" s="167">
        <f t="shared" si="31"/>
        <v>85.441271638667729</v>
      </c>
      <c r="AS33" s="167">
        <f t="shared" si="31"/>
        <v>63.590584779802889</v>
      </c>
      <c r="AT33" s="167">
        <f t="shared" si="31"/>
        <v>63.590584779802889</v>
      </c>
      <c r="AU33" s="167">
        <f t="shared" si="31"/>
        <v>80.979938661336035</v>
      </c>
      <c r="AV33" s="167">
        <f t="shared" si="31"/>
        <v>96.4800327716178</v>
      </c>
      <c r="AW33" s="167">
        <f t="shared" si="31"/>
        <v>100.55937854980098</v>
      </c>
      <c r="AX33" s="167">
        <f t="shared" si="31"/>
        <v>105.88373675392718</v>
      </c>
      <c r="AY33" s="167">
        <f t="shared" si="31"/>
        <v>96.4800327716178</v>
      </c>
      <c r="AZ33" s="167">
        <f t="shared" si="31"/>
        <v>84.195851011041938</v>
      </c>
      <c r="BA33" s="167">
        <f t="shared" si="31"/>
        <v>79.977184531575091</v>
      </c>
      <c r="BB33" s="167">
        <f t="shared" si="31"/>
        <v>126.96095410016311</v>
      </c>
      <c r="BC33" s="167">
        <f t="shared" si="31"/>
        <v>114.35905014160753</v>
      </c>
      <c r="BD33" s="167">
        <f t="shared" si="31"/>
        <v>91.422160653374476</v>
      </c>
      <c r="BE33" s="167">
        <f t="shared" si="31"/>
        <v>68.041925714389095</v>
      </c>
      <c r="BF33" s="167">
        <f t="shared" si="31"/>
        <v>68.041925714389095</v>
      </c>
      <c r="BG33" s="167">
        <f t="shared" si="31"/>
        <v>86.648534367629566</v>
      </c>
      <c r="BH33" s="167">
        <f t="shared" si="31"/>
        <v>103.23363506563103</v>
      </c>
      <c r="BI33" s="167">
        <f t="shared" si="31"/>
        <v>107.59853504828708</v>
      </c>
      <c r="BJ33" s="167">
        <f t="shared" si="31"/>
        <v>113.29559832670209</v>
      </c>
      <c r="BK33" s="167">
        <f t="shared" si="31"/>
        <v>103.23363506563103</v>
      </c>
      <c r="BL33" s="167">
        <f t="shared" si="31"/>
        <v>90.089560581814865</v>
      </c>
      <c r="BM33" s="167">
        <f t="shared" si="31"/>
        <v>85.575587448785342</v>
      </c>
      <c r="BN33" s="167">
        <f t="shared" si="31"/>
        <v>135.84822088717451</v>
      </c>
      <c r="BO33" s="167">
        <f t="shared" si="31"/>
        <v>122.36418365152007</v>
      </c>
      <c r="BP33" s="167">
        <f t="shared" si="31"/>
        <v>97.821711899110696</v>
      </c>
      <c r="BQ33" s="167">
        <f t="shared" si="31"/>
        <v>72.804860514396339</v>
      </c>
      <c r="BR33" s="167">
        <f t="shared" ref="BR33:CW33" si="32">BR13</f>
        <v>72.804860514396339</v>
      </c>
      <c r="BS33" s="167">
        <f t="shared" si="32"/>
        <v>92.71393177336364</v>
      </c>
      <c r="BT33" s="167">
        <f t="shared" si="32"/>
        <v>110.45998952022524</v>
      </c>
      <c r="BU33" s="167">
        <f t="shared" si="32"/>
        <v>115.13043250166717</v>
      </c>
      <c r="BV33" s="167">
        <f t="shared" si="32"/>
        <v>121.22629020957125</v>
      </c>
      <c r="BW33" s="167">
        <f t="shared" si="32"/>
        <v>110.45998952022524</v>
      </c>
      <c r="BX33" s="167">
        <f t="shared" si="32"/>
        <v>96.395829822541927</v>
      </c>
      <c r="BY33" s="167">
        <f t="shared" si="32"/>
        <v>91.565878570200326</v>
      </c>
      <c r="BZ33" s="167">
        <f t="shared" si="32"/>
        <v>145.35759634927675</v>
      </c>
      <c r="CA33" s="167">
        <f t="shared" si="32"/>
        <v>130.92967650712649</v>
      </c>
      <c r="CB33" s="167">
        <f t="shared" si="32"/>
        <v>104.66923173204846</v>
      </c>
      <c r="CC33" s="167">
        <f t="shared" si="32"/>
        <v>77.901200750404087</v>
      </c>
      <c r="CD33" s="167">
        <f t="shared" si="32"/>
        <v>77.901200750404087</v>
      </c>
      <c r="CE33" s="167">
        <f t="shared" si="32"/>
        <v>99.203906997499104</v>
      </c>
      <c r="CF33" s="167">
        <f t="shared" si="32"/>
        <v>118.19218878664101</v>
      </c>
      <c r="CG33" s="167">
        <f t="shared" si="32"/>
        <v>123.18956277678389</v>
      </c>
      <c r="CH33" s="167">
        <f t="shared" si="32"/>
        <v>129.71213052424125</v>
      </c>
      <c r="CI33" s="167">
        <f t="shared" si="32"/>
        <v>118.19218878664101</v>
      </c>
      <c r="CJ33" s="167">
        <f t="shared" si="32"/>
        <v>103.14353791011986</v>
      </c>
      <c r="CK33" s="167">
        <f t="shared" si="32"/>
        <v>97.975490070114361</v>
      </c>
      <c r="CL33" s="167">
        <f t="shared" si="32"/>
        <v>155.53262809372615</v>
      </c>
      <c r="CM33" s="167">
        <f t="shared" si="32"/>
        <v>140.09475386262537</v>
      </c>
      <c r="CN33" s="167">
        <f t="shared" si="32"/>
        <v>111.99607795329186</v>
      </c>
      <c r="CO33" s="167">
        <f t="shared" si="32"/>
        <v>83.354284802932384</v>
      </c>
      <c r="CP33" s="167">
        <f t="shared" si="32"/>
        <v>83.354284802932384</v>
      </c>
      <c r="CQ33" s="167">
        <f t="shared" si="32"/>
        <v>106.14818048732404</v>
      </c>
      <c r="CR33" s="167">
        <f t="shared" si="32"/>
        <v>126.46564200170587</v>
      </c>
      <c r="CS33" s="167">
        <f t="shared" si="32"/>
        <v>131.81283217115876</v>
      </c>
      <c r="CT33" s="167">
        <f t="shared" si="32"/>
        <v>138.79197966093815</v>
      </c>
      <c r="CU33" s="167">
        <f t="shared" si="32"/>
        <v>126.46564200170587</v>
      </c>
      <c r="CV33" s="167">
        <f t="shared" si="32"/>
        <v>110.36358556382827</v>
      </c>
      <c r="CW33" s="167">
        <f t="shared" si="32"/>
        <v>104.83377437502237</v>
      </c>
      <c r="CX33" s="167">
        <f t="shared" ref="CX33:DU33" si="33">CX13</f>
        <v>166.419912060287</v>
      </c>
      <c r="CY33" s="167">
        <f t="shared" si="33"/>
        <v>149.90138663300911</v>
      </c>
      <c r="CZ33" s="167">
        <f t="shared" si="33"/>
        <v>119.83580341002228</v>
      </c>
      <c r="DA33" s="167">
        <f t="shared" si="33"/>
        <v>89.189084739137641</v>
      </c>
      <c r="DB33" s="167">
        <f t="shared" si="33"/>
        <v>89.189084739137641</v>
      </c>
      <c r="DC33" s="167">
        <f t="shared" si="33"/>
        <v>113.57855312143674</v>
      </c>
      <c r="DD33" s="167">
        <f t="shared" si="33"/>
        <v>135.31823694182529</v>
      </c>
      <c r="DE33" s="167">
        <f t="shared" si="33"/>
        <v>141.03973042313987</v>
      </c>
      <c r="DF33" s="167">
        <f t="shared" si="33"/>
        <v>148.50741823720381</v>
      </c>
      <c r="DG33" s="167">
        <f t="shared" si="33"/>
        <v>135.31823694182529</v>
      </c>
      <c r="DH33" s="167">
        <f t="shared" si="33"/>
        <v>118.08903655329625</v>
      </c>
      <c r="DI33" s="167">
        <f t="shared" si="33"/>
        <v>112.17213858127396</v>
      </c>
      <c r="DJ33" s="167">
        <f t="shared" si="33"/>
        <v>178.06930590450708</v>
      </c>
      <c r="DK33" s="167">
        <f t="shared" si="33"/>
        <v>160.39448369731974</v>
      </c>
      <c r="DL33" s="167">
        <f t="shared" si="33"/>
        <v>128.22430964872385</v>
      </c>
      <c r="DM33" s="167">
        <f t="shared" si="33"/>
        <v>95.432320670877274</v>
      </c>
      <c r="DN33" s="167">
        <f t="shared" si="33"/>
        <v>95.432320670877274</v>
      </c>
      <c r="DO33" s="167">
        <f t="shared" si="33"/>
        <v>121.52905183993731</v>
      </c>
      <c r="DP33" s="167">
        <f t="shared" si="33"/>
        <v>144.79051352775306</v>
      </c>
      <c r="DQ33" s="167">
        <f t="shared" si="33"/>
        <v>150.91251155275967</v>
      </c>
      <c r="DR33" s="167">
        <f t="shared" si="33"/>
        <v>158.9029375138081</v>
      </c>
      <c r="DS33" s="167">
        <f t="shared" si="33"/>
        <v>144.79051352775306</v>
      </c>
      <c r="DT33" s="167">
        <f t="shared" si="33"/>
        <v>126.35526911202697</v>
      </c>
      <c r="DU33" s="167">
        <f t="shared" si="33"/>
        <v>120.02418828196312</v>
      </c>
    </row>
    <row r="34" spans="3:125" x14ac:dyDescent="0.25">
      <c r="C34" s="779"/>
      <c r="D34" s="395" t="s">
        <v>112</v>
      </c>
      <c r="E34" s="187"/>
      <c r="F34" s="167">
        <f t="shared" ref="F34:AK34" si="34">F14</f>
        <v>16.351456000000002</v>
      </c>
      <c r="G34" s="167">
        <f t="shared" si="34"/>
        <v>19.8713340995048</v>
      </c>
      <c r="H34" s="167">
        <f t="shared" si="34"/>
        <v>23.013644589550999</v>
      </c>
      <c r="I34" s="167">
        <f t="shared" si="34"/>
        <v>16.053433661692541</v>
      </c>
      <c r="J34" s="167">
        <f t="shared" si="34"/>
        <v>16.053433661692541</v>
      </c>
      <c r="K34" s="167">
        <f t="shared" si="34"/>
        <v>20.804901333333344</v>
      </c>
      <c r="L34" s="167">
        <f t="shared" si="34"/>
        <v>23.089920873132016</v>
      </c>
      <c r="M34" s="167">
        <f t="shared" si="34"/>
        <v>24.627364726367414</v>
      </c>
      <c r="N34" s="167">
        <f t="shared" si="34"/>
        <v>24.744026579602817</v>
      </c>
      <c r="O34" s="167">
        <f t="shared" si="34"/>
        <v>23.089920873132016</v>
      </c>
      <c r="P34" s="167">
        <f t="shared" si="34"/>
        <v>22.043846119401341</v>
      </c>
      <c r="Q34" s="167">
        <f t="shared" si="34"/>
        <v>19.55206336567074</v>
      </c>
      <c r="R34" s="167">
        <f t="shared" si="34"/>
        <v>29.231218720000001</v>
      </c>
      <c r="S34" s="167">
        <f t="shared" si="34"/>
        <v>26.329783286470143</v>
      </c>
      <c r="T34" s="167">
        <f t="shared" si="34"/>
        <v>21.048842873419574</v>
      </c>
      <c r="U34" s="167">
        <f t="shared" si="34"/>
        <v>15.665827551344346</v>
      </c>
      <c r="V34" s="167">
        <f t="shared" si="34"/>
        <v>15.665827551344346</v>
      </c>
      <c r="W34" s="167">
        <f t="shared" si="34"/>
        <v>19.949773360000005</v>
      </c>
      <c r="X34" s="167">
        <f t="shared" si="34"/>
        <v>23.768291497584503</v>
      </c>
      <c r="Y34" s="167">
        <f t="shared" si="34"/>
        <v>24.773256740546383</v>
      </c>
      <c r="Z34" s="167">
        <f t="shared" si="34"/>
        <v>26.084936413508263</v>
      </c>
      <c r="AA34" s="167">
        <f t="shared" si="34"/>
        <v>23.768291497584503</v>
      </c>
      <c r="AB34" s="167">
        <f t="shared" si="34"/>
        <v>20.74202788109276</v>
      </c>
      <c r="AC34" s="167">
        <f t="shared" si="34"/>
        <v>19.702740354601023</v>
      </c>
      <c r="AD34" s="167">
        <f t="shared" si="34"/>
        <v>31.27740403040001</v>
      </c>
      <c r="AE34" s="167">
        <f t="shared" si="34"/>
        <v>28.172868116523055</v>
      </c>
      <c r="AF34" s="167">
        <f t="shared" si="34"/>
        <v>22.52226187455895</v>
      </c>
      <c r="AG34" s="167">
        <f t="shared" si="34"/>
        <v>16.762435479938453</v>
      </c>
      <c r="AH34" s="167">
        <f t="shared" si="34"/>
        <v>16.762435479938453</v>
      </c>
      <c r="AI34" s="167">
        <f t="shared" si="34"/>
        <v>21.346257495200007</v>
      </c>
      <c r="AJ34" s="167">
        <f t="shared" si="34"/>
        <v>25.432071902415423</v>
      </c>
      <c r="AK34" s="167">
        <f t="shared" si="34"/>
        <v>26.507384712384631</v>
      </c>
      <c r="AL34" s="167">
        <f t="shared" ref="AL34:BQ34" si="35">AL14</f>
        <v>27.910881962453843</v>
      </c>
      <c r="AM34" s="167">
        <f t="shared" si="35"/>
        <v>25.432071902415423</v>
      </c>
      <c r="AN34" s="167">
        <f t="shared" si="35"/>
        <v>22.193969832769255</v>
      </c>
      <c r="AO34" s="167">
        <f t="shared" si="35"/>
        <v>21.081932179423095</v>
      </c>
      <c r="AP34" s="167">
        <f t="shared" si="35"/>
        <v>33.466822312528009</v>
      </c>
      <c r="AQ34" s="167">
        <f t="shared" si="35"/>
        <v>30.144968884679674</v>
      </c>
      <c r="AR34" s="167">
        <f t="shared" si="35"/>
        <v>24.098820205778075</v>
      </c>
      <c r="AS34" s="167">
        <f t="shared" si="35"/>
        <v>17.935805963534147</v>
      </c>
      <c r="AT34" s="167">
        <f t="shared" si="35"/>
        <v>17.935805963534147</v>
      </c>
      <c r="AU34" s="167">
        <f t="shared" si="35"/>
        <v>22.84049551986401</v>
      </c>
      <c r="AV34" s="167">
        <f t="shared" si="35"/>
        <v>27.212316935584507</v>
      </c>
      <c r="AW34" s="167">
        <f t="shared" si="35"/>
        <v>28.362901642251558</v>
      </c>
      <c r="AX34" s="167">
        <f t="shared" si="35"/>
        <v>29.864643699825614</v>
      </c>
      <c r="AY34" s="167">
        <f t="shared" si="35"/>
        <v>27.212316935584507</v>
      </c>
      <c r="AZ34" s="167">
        <f t="shared" si="35"/>
        <v>23.747547721063107</v>
      </c>
      <c r="BA34" s="167">
        <f t="shared" si="35"/>
        <v>22.557667431982715</v>
      </c>
      <c r="BB34" s="167">
        <f t="shared" si="35"/>
        <v>35.809499874404978</v>
      </c>
      <c r="BC34" s="167">
        <f t="shared" si="35"/>
        <v>32.255116706607254</v>
      </c>
      <c r="BD34" s="167">
        <f t="shared" si="35"/>
        <v>25.785737620182545</v>
      </c>
      <c r="BE34" s="167">
        <f t="shared" si="35"/>
        <v>19.191312380981536</v>
      </c>
      <c r="BF34" s="167">
        <f t="shared" si="35"/>
        <v>19.191312380981536</v>
      </c>
      <c r="BG34" s="167">
        <f t="shared" si="35"/>
        <v>24.439330206254493</v>
      </c>
      <c r="BH34" s="167">
        <f t="shared" si="35"/>
        <v>29.11717912107542</v>
      </c>
      <c r="BI34" s="167">
        <f t="shared" si="35"/>
        <v>30.348304757209174</v>
      </c>
      <c r="BJ34" s="167">
        <f t="shared" si="35"/>
        <v>31.955168758813407</v>
      </c>
      <c r="BK34" s="167">
        <f t="shared" si="35"/>
        <v>29.11717912107542</v>
      </c>
      <c r="BL34" s="167">
        <f t="shared" si="35"/>
        <v>25.409876061537528</v>
      </c>
      <c r="BM34" s="167">
        <f t="shared" si="35"/>
        <v>24.136704152221508</v>
      </c>
      <c r="BN34" s="167">
        <f t="shared" si="35"/>
        <v>38.316164865613324</v>
      </c>
      <c r="BO34" s="167">
        <f t="shared" si="35"/>
        <v>34.512974876069762</v>
      </c>
      <c r="BP34" s="167">
        <f t="shared" si="35"/>
        <v>27.590739253595324</v>
      </c>
      <c r="BQ34" s="167">
        <f t="shared" si="35"/>
        <v>20.534704247650247</v>
      </c>
      <c r="BR34" s="167">
        <f t="shared" ref="BR34:CW34" si="36">BR14</f>
        <v>20.534704247650247</v>
      </c>
      <c r="BS34" s="167">
        <f t="shared" si="36"/>
        <v>26.150083320692307</v>
      </c>
      <c r="BT34" s="167">
        <f t="shared" si="36"/>
        <v>31.155381659550706</v>
      </c>
      <c r="BU34" s="167">
        <f t="shared" si="36"/>
        <v>32.47268609021382</v>
      </c>
      <c r="BV34" s="167">
        <f t="shared" si="36"/>
        <v>34.192030571930353</v>
      </c>
      <c r="BW34" s="167">
        <f t="shared" si="36"/>
        <v>31.155381659550706</v>
      </c>
      <c r="BX34" s="167">
        <f t="shared" si="36"/>
        <v>27.188567385845158</v>
      </c>
      <c r="BY34" s="167">
        <f t="shared" si="36"/>
        <v>25.826273442877014</v>
      </c>
      <c r="BZ34" s="167">
        <f t="shared" si="36"/>
        <v>40.998296406206265</v>
      </c>
      <c r="CA34" s="167">
        <f t="shared" si="36"/>
        <v>36.928883117394648</v>
      </c>
      <c r="CB34" s="167">
        <f t="shared" si="36"/>
        <v>29.522091001347</v>
      </c>
      <c r="CC34" s="167">
        <f t="shared" si="36"/>
        <v>21.972133544985766</v>
      </c>
      <c r="CD34" s="167">
        <f t="shared" si="36"/>
        <v>21.972133544985766</v>
      </c>
      <c r="CE34" s="167">
        <f t="shared" si="36"/>
        <v>27.980589153140773</v>
      </c>
      <c r="CF34" s="167">
        <f t="shared" si="36"/>
        <v>33.336258375719261</v>
      </c>
      <c r="CG34" s="167">
        <f t="shared" si="36"/>
        <v>34.745774116528786</v>
      </c>
      <c r="CH34" s="167">
        <f t="shared" si="36"/>
        <v>36.58547271196548</v>
      </c>
      <c r="CI34" s="167">
        <f t="shared" si="36"/>
        <v>33.336258375719261</v>
      </c>
      <c r="CJ34" s="167">
        <f t="shared" si="36"/>
        <v>29.09176710285432</v>
      </c>
      <c r="CK34" s="167">
        <f t="shared" si="36"/>
        <v>27.634112583878409</v>
      </c>
      <c r="CL34" s="167">
        <f t="shared" si="36"/>
        <v>43.868177154640705</v>
      </c>
      <c r="CM34" s="167">
        <f t="shared" si="36"/>
        <v>39.513904935612281</v>
      </c>
      <c r="CN34" s="167">
        <f t="shared" si="36"/>
        <v>31.58863737144129</v>
      </c>
      <c r="CO34" s="167">
        <f t="shared" si="36"/>
        <v>23.510182893134772</v>
      </c>
      <c r="CP34" s="167">
        <f t="shared" si="36"/>
        <v>23.510182893134772</v>
      </c>
      <c r="CQ34" s="167">
        <f t="shared" si="36"/>
        <v>29.939230393860626</v>
      </c>
      <c r="CR34" s="167">
        <f t="shared" si="36"/>
        <v>35.669796462019605</v>
      </c>
      <c r="CS34" s="167">
        <f t="shared" si="36"/>
        <v>37.177978304685809</v>
      </c>
      <c r="CT34" s="167">
        <f t="shared" si="36"/>
        <v>39.146455801803064</v>
      </c>
      <c r="CU34" s="167">
        <f t="shared" si="36"/>
        <v>35.669796462019605</v>
      </c>
      <c r="CV34" s="167">
        <f t="shared" si="36"/>
        <v>31.128190800054128</v>
      </c>
      <c r="CW34" s="167">
        <f t="shared" si="36"/>
        <v>29.568500464749899</v>
      </c>
      <c r="CX34" s="167">
        <f t="shared" ref="CX34:DU34" si="37">CX14</f>
        <v>46.938949555465562</v>
      </c>
      <c r="CY34" s="167">
        <f t="shared" si="37"/>
        <v>42.279878281105134</v>
      </c>
      <c r="CZ34" s="167">
        <f t="shared" si="37"/>
        <v>33.799841987442178</v>
      </c>
      <c r="DA34" s="167">
        <f t="shared" si="37"/>
        <v>25.155895695654205</v>
      </c>
      <c r="DB34" s="167">
        <f t="shared" si="37"/>
        <v>25.155895695654205</v>
      </c>
      <c r="DC34" s="167">
        <f t="shared" si="37"/>
        <v>32.03497652143087</v>
      </c>
      <c r="DD34" s="167">
        <f t="shared" si="37"/>
        <v>38.166682214360982</v>
      </c>
      <c r="DE34" s="167">
        <f t="shared" si="37"/>
        <v>39.780436786013809</v>
      </c>
      <c r="DF34" s="167">
        <f t="shared" si="37"/>
        <v>41.886707707929276</v>
      </c>
      <c r="DG34" s="167">
        <f t="shared" si="37"/>
        <v>38.166682214360982</v>
      </c>
      <c r="DH34" s="167">
        <f t="shared" si="37"/>
        <v>33.307164156057915</v>
      </c>
      <c r="DI34" s="167">
        <f t="shared" si="37"/>
        <v>31.638295497282396</v>
      </c>
      <c r="DJ34" s="167">
        <f t="shared" si="37"/>
        <v>50.224676024348142</v>
      </c>
      <c r="DK34" s="167">
        <f t="shared" si="37"/>
        <v>45.239469760782491</v>
      </c>
      <c r="DL34" s="167">
        <f t="shared" si="37"/>
        <v>36.165830926563139</v>
      </c>
      <c r="DM34" s="167">
        <f t="shared" si="37"/>
        <v>26.916808394349999</v>
      </c>
      <c r="DN34" s="167">
        <f t="shared" si="37"/>
        <v>26.916808394349999</v>
      </c>
      <c r="DO34" s="167">
        <f t="shared" si="37"/>
        <v>34.27742487793104</v>
      </c>
      <c r="DP34" s="167">
        <f t="shared" si="37"/>
        <v>40.838349969366249</v>
      </c>
      <c r="DQ34" s="167">
        <f t="shared" si="37"/>
        <v>42.565067361034778</v>
      </c>
      <c r="DR34" s="167">
        <f t="shared" si="37"/>
        <v>44.818777247484334</v>
      </c>
      <c r="DS34" s="167">
        <f t="shared" si="37"/>
        <v>40.838349969366249</v>
      </c>
      <c r="DT34" s="167">
        <f t="shared" si="37"/>
        <v>35.63866564698197</v>
      </c>
      <c r="DU34" s="167">
        <f t="shared" si="37"/>
        <v>33.852976182092164</v>
      </c>
    </row>
    <row r="35" spans="3:125" ht="12.75" customHeight="1" x14ac:dyDescent="0.25">
      <c r="C35" s="401" t="s">
        <v>28</v>
      </c>
      <c r="D35" s="395" t="s">
        <v>111</v>
      </c>
      <c r="E35" s="187"/>
      <c r="F35" s="167">
        <v>0</v>
      </c>
      <c r="G35" s="167">
        <f t="shared" ref="G35:BR35" si="38">G19</f>
        <v>0</v>
      </c>
      <c r="H35" s="167">
        <f t="shared" si="38"/>
        <v>0</v>
      </c>
      <c r="I35" s="167">
        <f t="shared" si="38"/>
        <v>17.392003200000001</v>
      </c>
      <c r="J35" s="167">
        <f t="shared" si="38"/>
        <v>21.135873542200564</v>
      </c>
      <c r="K35" s="167">
        <f t="shared" si="38"/>
        <v>24.4781492452497</v>
      </c>
      <c r="L35" s="167">
        <f t="shared" si="38"/>
        <v>17.075015803800248</v>
      </c>
      <c r="M35" s="167">
        <f t="shared" si="38"/>
        <v>17.075015803800248</v>
      </c>
      <c r="N35" s="167">
        <f t="shared" si="38"/>
        <v>22.128849600000009</v>
      </c>
      <c r="O35" s="167">
        <f t="shared" si="38"/>
        <v>24.559279474149506</v>
      </c>
      <c r="P35" s="167">
        <f t="shared" si="38"/>
        <v>26.194560663499885</v>
      </c>
      <c r="Q35" s="167">
        <f t="shared" si="38"/>
        <v>26.318646452850267</v>
      </c>
      <c r="R35" s="167">
        <f t="shared" si="38"/>
        <v>24.559279474149506</v>
      </c>
      <c r="S35" s="167">
        <f t="shared" si="38"/>
        <v>23.446636326999609</v>
      </c>
      <c r="T35" s="167">
        <f t="shared" si="38"/>
        <v>20.796285579849787</v>
      </c>
      <c r="U35" s="167">
        <f t="shared" si="38"/>
        <v>31.091387184000002</v>
      </c>
      <c r="V35" s="167">
        <f t="shared" si="38"/>
        <v>28.005314950154606</v>
      </c>
      <c r="W35" s="167">
        <f t="shared" si="38"/>
        <v>22.388314692637184</v>
      </c>
      <c r="X35" s="167">
        <f t="shared" si="38"/>
        <v>16.66274385006626</v>
      </c>
      <c r="Y35" s="167">
        <f t="shared" si="38"/>
        <v>16.66274385006626</v>
      </c>
      <c r="Z35" s="167">
        <f t="shared" si="38"/>
        <v>21.219304392000002</v>
      </c>
      <c r="AA35" s="167">
        <f t="shared" si="38"/>
        <v>25.280819138339883</v>
      </c>
      <c r="AB35" s="167">
        <f t="shared" si="38"/>
        <v>26.349736714944786</v>
      </c>
      <c r="AC35" s="167">
        <f t="shared" si="38"/>
        <v>27.744886912549696</v>
      </c>
      <c r="AD35" s="167">
        <f t="shared" si="38"/>
        <v>25.280819138339883</v>
      </c>
      <c r="AE35" s="167">
        <f t="shared" si="38"/>
        <v>22.061975109889573</v>
      </c>
      <c r="AF35" s="167">
        <f t="shared" si="38"/>
        <v>20.956551104439267</v>
      </c>
      <c r="AG35" s="167">
        <f t="shared" si="38"/>
        <v>33.267784286880016</v>
      </c>
      <c r="AH35" s="167">
        <f t="shared" si="38"/>
        <v>29.965686996665433</v>
      </c>
      <c r="AI35" s="167">
        <f t="shared" si="38"/>
        <v>23.95549672112179</v>
      </c>
      <c r="AJ35" s="167">
        <f t="shared" si="38"/>
        <v>17.829135919570898</v>
      </c>
      <c r="AK35" s="167">
        <f t="shared" si="38"/>
        <v>17.829135919570898</v>
      </c>
      <c r="AL35" s="167">
        <f t="shared" si="38"/>
        <v>22.704655699440007</v>
      </c>
      <c r="AM35" s="167">
        <f t="shared" si="38"/>
        <v>27.050476478023675</v>
      </c>
      <c r="AN35" s="167">
        <f t="shared" si="38"/>
        <v>28.194218284990928</v>
      </c>
      <c r="AO35" s="167">
        <f t="shared" si="38"/>
        <v>29.687028996428175</v>
      </c>
      <c r="AP35" s="167">
        <f t="shared" si="38"/>
        <v>27.050476478023675</v>
      </c>
      <c r="AQ35" s="167">
        <f t="shared" si="38"/>
        <v>23.606313367581844</v>
      </c>
      <c r="AR35" s="167">
        <f t="shared" si="38"/>
        <v>22.423509681750019</v>
      </c>
      <c r="AS35" s="167">
        <f t="shared" si="38"/>
        <v>35.596529186961611</v>
      </c>
      <c r="AT35" s="167">
        <f t="shared" si="38"/>
        <v>32.063285086432018</v>
      </c>
      <c r="AU35" s="167">
        <f t="shared" si="38"/>
        <v>25.632381491600317</v>
      </c>
      <c r="AV35" s="167">
        <f t="shared" si="38"/>
        <v>19.077175433940866</v>
      </c>
      <c r="AW35" s="167">
        <f t="shared" si="38"/>
        <v>19.077175433940866</v>
      </c>
      <c r="AX35" s="167">
        <f t="shared" si="38"/>
        <v>24.293981598400809</v>
      </c>
      <c r="AY35" s="167">
        <f t="shared" si="38"/>
        <v>28.944009831485339</v>
      </c>
      <c r="AZ35" s="167">
        <f t="shared" si="38"/>
        <v>30.167813564940293</v>
      </c>
      <c r="BA35" s="167">
        <f t="shared" si="38"/>
        <v>31.765121026178154</v>
      </c>
      <c r="BB35" s="167">
        <f t="shared" si="38"/>
        <v>28.944009831485339</v>
      </c>
      <c r="BC35" s="167">
        <f t="shared" si="38"/>
        <v>25.258755303312579</v>
      </c>
      <c r="BD35" s="167">
        <f t="shared" si="38"/>
        <v>23.993155359472528</v>
      </c>
      <c r="BE35" s="167">
        <f t="shared" si="38"/>
        <v>38.088286230048929</v>
      </c>
      <c r="BF35" s="167">
        <f t="shared" si="38"/>
        <v>34.307715042482258</v>
      </c>
      <c r="BG35" s="167">
        <f t="shared" si="38"/>
        <v>27.426648196012341</v>
      </c>
      <c r="BH35" s="167">
        <f t="shared" si="38"/>
        <v>20.412577714316729</v>
      </c>
      <c r="BI35" s="167">
        <f t="shared" si="38"/>
        <v>20.412577714316729</v>
      </c>
      <c r="BJ35" s="167">
        <f t="shared" si="38"/>
        <v>25.994560310288868</v>
      </c>
      <c r="BK35" s="167">
        <f t="shared" si="38"/>
        <v>30.970090519689307</v>
      </c>
      <c r="BL35" s="167">
        <f t="shared" si="38"/>
        <v>32.279560514486121</v>
      </c>
      <c r="BM35" s="167">
        <f t="shared" si="38"/>
        <v>33.988679498010626</v>
      </c>
      <c r="BN35" s="167">
        <f t="shared" si="38"/>
        <v>30.970090519689307</v>
      </c>
      <c r="BO35" s="167">
        <f t="shared" si="38"/>
        <v>27.026868174544457</v>
      </c>
      <c r="BP35" s="167">
        <f t="shared" si="38"/>
        <v>25.672676234635603</v>
      </c>
      <c r="BQ35" s="167">
        <f t="shared" si="38"/>
        <v>40.754466266152349</v>
      </c>
      <c r="BR35" s="167">
        <f t="shared" si="38"/>
        <v>36.709255095456015</v>
      </c>
      <c r="BS35" s="167">
        <f t="shared" ref="BS35:DU35" si="39">BS19</f>
        <v>29.346513569733208</v>
      </c>
      <c r="BT35" s="167">
        <f t="shared" si="39"/>
        <v>21.8414581543189</v>
      </c>
      <c r="BU35" s="167">
        <f t="shared" si="39"/>
        <v>21.8414581543189</v>
      </c>
      <c r="BV35" s="167">
        <f t="shared" si="39"/>
        <v>27.814179532009092</v>
      </c>
      <c r="BW35" s="167">
        <f t="shared" si="39"/>
        <v>33.137996856067566</v>
      </c>
      <c r="BX35" s="167">
        <f t="shared" si="39"/>
        <v>34.539129750500152</v>
      </c>
      <c r="BY35" s="167">
        <f t="shared" si="39"/>
        <v>36.367887062871375</v>
      </c>
      <c r="BZ35" s="167">
        <f t="shared" si="39"/>
        <v>33.137996856067566</v>
      </c>
      <c r="CA35" s="167">
        <f t="shared" si="39"/>
        <v>28.918748946762577</v>
      </c>
      <c r="CB35" s="167">
        <f t="shared" si="39"/>
        <v>27.469763571060096</v>
      </c>
      <c r="CC35" s="167">
        <f t="shared" si="39"/>
        <v>43.607278904783023</v>
      </c>
      <c r="CD35" s="167">
        <f t="shared" si="39"/>
        <v>39.278902952137948</v>
      </c>
      <c r="CE35" s="167">
        <f t="shared" si="39"/>
        <v>31.400769519614535</v>
      </c>
      <c r="CF35" s="167">
        <f t="shared" si="39"/>
        <v>23.370360225121225</v>
      </c>
      <c r="CG35" s="167">
        <f t="shared" si="39"/>
        <v>23.370360225121225</v>
      </c>
      <c r="CH35" s="167">
        <f t="shared" si="39"/>
        <v>29.76117209924973</v>
      </c>
      <c r="CI35" s="167">
        <f t="shared" si="39"/>
        <v>35.457656635992301</v>
      </c>
      <c r="CJ35" s="167">
        <f t="shared" si="39"/>
        <v>36.956868833035166</v>
      </c>
      <c r="CK35" s="167">
        <f t="shared" si="39"/>
        <v>38.913639157272371</v>
      </c>
      <c r="CL35" s="167">
        <f t="shared" si="39"/>
        <v>35.457656635992301</v>
      </c>
      <c r="CM35" s="167">
        <f t="shared" si="39"/>
        <v>30.943061373035956</v>
      </c>
      <c r="CN35" s="167">
        <f t="shared" si="39"/>
        <v>29.392647021034307</v>
      </c>
      <c r="CO35" s="167">
        <f t="shared" si="39"/>
        <v>46.659788428117842</v>
      </c>
      <c r="CP35" s="167">
        <f t="shared" si="39"/>
        <v>42.02842615878761</v>
      </c>
      <c r="CQ35" s="167">
        <f t="shared" si="39"/>
        <v>33.598823385987558</v>
      </c>
      <c r="CR35" s="167">
        <f t="shared" si="39"/>
        <v>25.006285440879715</v>
      </c>
      <c r="CS35" s="167">
        <f t="shared" si="39"/>
        <v>25.006285440879715</v>
      </c>
      <c r="CT35" s="167">
        <f t="shared" si="39"/>
        <v>31.844454146197211</v>
      </c>
      <c r="CU35" s="167">
        <f t="shared" si="39"/>
        <v>37.939692600511762</v>
      </c>
      <c r="CV35" s="167">
        <f t="shared" si="39"/>
        <v>39.543849651347628</v>
      </c>
      <c r="CW35" s="167">
        <f t="shared" si="39"/>
        <v>41.637593898281445</v>
      </c>
      <c r="CX35" s="167">
        <f t="shared" si="39"/>
        <v>37.939692600511762</v>
      </c>
      <c r="CY35" s="167">
        <f t="shared" si="39"/>
        <v>33.109075669148481</v>
      </c>
      <c r="CZ35" s="167">
        <f t="shared" si="39"/>
        <v>31.45013231250671</v>
      </c>
      <c r="DA35" s="167">
        <f t="shared" si="39"/>
        <v>49.925973618086097</v>
      </c>
      <c r="DB35" s="167">
        <f t="shared" si="39"/>
        <v>44.970415989902733</v>
      </c>
      <c r="DC35" s="167">
        <f t="shared" si="39"/>
        <v>35.950741023006685</v>
      </c>
      <c r="DD35" s="167">
        <f t="shared" si="39"/>
        <v>26.75672542174129</v>
      </c>
      <c r="DE35" s="167">
        <f t="shared" si="39"/>
        <v>26.75672542174129</v>
      </c>
      <c r="DF35" s="167">
        <f t="shared" si="39"/>
        <v>34.073565936431024</v>
      </c>
      <c r="DG35" s="167">
        <f t="shared" si="39"/>
        <v>40.595471082547583</v>
      </c>
      <c r="DH35" s="167">
        <f t="shared" si="39"/>
        <v>42.311919126941959</v>
      </c>
      <c r="DI35" s="167">
        <f t="shared" si="39"/>
        <v>44.552225471161144</v>
      </c>
      <c r="DJ35" s="167">
        <f t="shared" si="39"/>
        <v>40.595471082547583</v>
      </c>
      <c r="DK35" s="167">
        <f t="shared" si="39"/>
        <v>35.426710965988875</v>
      </c>
      <c r="DL35" s="167">
        <f t="shared" si="39"/>
        <v>33.651641574382182</v>
      </c>
      <c r="DM35" s="167">
        <f t="shared" si="39"/>
        <v>53.420791771352121</v>
      </c>
      <c r="DN35" s="167">
        <f t="shared" si="39"/>
        <v>48.118345109195921</v>
      </c>
      <c r="DO35" s="167">
        <f t="shared" si="39"/>
        <v>38.467292894617152</v>
      </c>
      <c r="DP35" s="167">
        <f t="shared" si="39"/>
        <v>28.629696201263183</v>
      </c>
      <c r="DQ35" s="167">
        <f t="shared" si="39"/>
        <v>28.629696201263183</v>
      </c>
      <c r="DR35" s="167">
        <f t="shared" si="39"/>
        <v>36.458715551981193</v>
      </c>
      <c r="DS35" s="167">
        <f t="shared" si="39"/>
        <v>43.437154058325916</v>
      </c>
      <c r="DT35" s="167">
        <f t="shared" si="39"/>
        <v>45.273753465827902</v>
      </c>
      <c r="DU35" s="167">
        <f t="shared" si="39"/>
        <v>47.670881254142429</v>
      </c>
    </row>
    <row r="36" spans="3:125" ht="15.75" customHeight="1" x14ac:dyDescent="0.25">
      <c r="C36" s="775" t="s">
        <v>114</v>
      </c>
      <c r="D36" s="775"/>
      <c r="E36" s="187"/>
      <c r="F36" s="167">
        <f t="shared" ref="F36:BQ36" si="40">SUM(F33:F35)</f>
        <v>74.32480000000001</v>
      </c>
      <c r="G36" s="167">
        <f t="shared" si="40"/>
        <v>90.324245906840019</v>
      </c>
      <c r="H36" s="167">
        <f t="shared" si="40"/>
        <v>104.60747540705</v>
      </c>
      <c r="I36" s="167">
        <f>SUM(I33:I35)</f>
        <v>90.362156207693374</v>
      </c>
      <c r="J36" s="167">
        <f t="shared" si="40"/>
        <v>94.106026549893926</v>
      </c>
      <c r="K36" s="167">
        <f t="shared" si="40"/>
        <v>119.04588257858308</v>
      </c>
      <c r="L36" s="167">
        <f t="shared" si="40"/>
        <v>122.02920159076396</v>
      </c>
      <c r="M36" s="167">
        <f t="shared" si="40"/>
        <v>129.01758274183396</v>
      </c>
      <c r="N36" s="167">
        <f t="shared" si="40"/>
        <v>134.60169768910373</v>
      </c>
      <c r="O36" s="167">
        <f t="shared" si="40"/>
        <v>129.5134652611132</v>
      </c>
      <c r="P36" s="167">
        <f t="shared" si="40"/>
        <v>126.39386120623325</v>
      </c>
      <c r="Q36" s="167">
        <f t="shared" si="40"/>
        <v>115.19166175135362</v>
      </c>
      <c r="R36" s="167">
        <f>SUM(R33:R35)</f>
        <v>157.42845547414953</v>
      </c>
      <c r="S36" s="167">
        <f t="shared" si="40"/>
        <v>143.12746944731845</v>
      </c>
      <c r="T36" s="167">
        <f t="shared" si="40"/>
        <v>116.4728440953933</v>
      </c>
      <c r="U36" s="167">
        <f t="shared" si="40"/>
        <v>102.29969423556521</v>
      </c>
      <c r="V36" s="167">
        <f t="shared" si="40"/>
        <v>99.213622001719813</v>
      </c>
      <c r="W36" s="167">
        <f t="shared" si="40"/>
        <v>113.0691026926372</v>
      </c>
      <c r="X36" s="167">
        <f t="shared" si="40"/>
        <v>124.70043247545037</v>
      </c>
      <c r="Y36" s="167">
        <f t="shared" si="40"/>
        <v>129.26845630709528</v>
      </c>
      <c r="Z36" s="167">
        <f t="shared" si="40"/>
        <v>139.78719718067393</v>
      </c>
      <c r="AA36" s="167">
        <f t="shared" si="40"/>
        <v>133.318507763724</v>
      </c>
      <c r="AB36" s="167">
        <f t="shared" si="40"/>
        <v>120.6316816290028</v>
      </c>
      <c r="AC36" s="167">
        <f t="shared" si="40"/>
        <v>117.30279761528161</v>
      </c>
      <c r="AD36" s="167">
        <f t="shared" si="40"/>
        <v>167.45083745833995</v>
      </c>
      <c r="AE36" s="167">
        <f t="shared" si="40"/>
        <v>150.12046654863073</v>
      </c>
      <c r="AF36" s="167">
        <f t="shared" si="40"/>
        <v>123.33046871607085</v>
      </c>
      <c r="AG36" s="167">
        <f t="shared" si="40"/>
        <v>109.4606728320548</v>
      </c>
      <c r="AH36" s="167">
        <f t="shared" si="40"/>
        <v>106.15857554184021</v>
      </c>
      <c r="AI36" s="167">
        <f t="shared" si="40"/>
        <v>120.98393988112183</v>
      </c>
      <c r="AJ36" s="167">
        <f t="shared" si="40"/>
        <v>133.42946274873191</v>
      </c>
      <c r="AK36" s="167">
        <f t="shared" si="40"/>
        <v>138.31724824859197</v>
      </c>
      <c r="AL36" s="167">
        <f t="shared" si="40"/>
        <v>149.5723009833211</v>
      </c>
      <c r="AM36" s="167">
        <f t="shared" si="40"/>
        <v>142.6508033071847</v>
      </c>
      <c r="AN36" s="167">
        <f t="shared" si="40"/>
        <v>129.075899343033</v>
      </c>
      <c r="AO36" s="167">
        <f t="shared" si="40"/>
        <v>125.51399344835133</v>
      </c>
      <c r="AP36" s="167">
        <f t="shared" si="40"/>
        <v>179.17239608042374</v>
      </c>
      <c r="AQ36" s="167">
        <f t="shared" si="40"/>
        <v>160.62889920703489</v>
      </c>
      <c r="AR36" s="167">
        <f t="shared" si="40"/>
        <v>131.96360152619582</v>
      </c>
      <c r="AS36" s="167">
        <f t="shared" si="40"/>
        <v>117.12291993029865</v>
      </c>
      <c r="AT36" s="167">
        <f t="shared" si="40"/>
        <v>113.58967582976905</v>
      </c>
      <c r="AU36" s="167">
        <f t="shared" si="40"/>
        <v>129.45281567280037</v>
      </c>
      <c r="AV36" s="167">
        <f t="shared" si="40"/>
        <v>142.76952514114316</v>
      </c>
      <c r="AW36" s="167">
        <f t="shared" si="40"/>
        <v>147.99945562599339</v>
      </c>
      <c r="AX36" s="167">
        <f t="shared" si="40"/>
        <v>160.04236205215361</v>
      </c>
      <c r="AY36" s="167">
        <f t="shared" si="40"/>
        <v>152.63635953868766</v>
      </c>
      <c r="AZ36" s="167">
        <f t="shared" si="40"/>
        <v>138.11121229704534</v>
      </c>
      <c r="BA36" s="167">
        <f t="shared" si="40"/>
        <v>134.29997298973595</v>
      </c>
      <c r="BB36" s="167">
        <f t="shared" si="40"/>
        <v>191.71446380605343</v>
      </c>
      <c r="BC36" s="167">
        <f t="shared" si="40"/>
        <v>171.87292215152735</v>
      </c>
      <c r="BD36" s="167">
        <f t="shared" si="40"/>
        <v>141.20105363302955</v>
      </c>
      <c r="BE36" s="167">
        <f t="shared" si="40"/>
        <v>125.32152432541957</v>
      </c>
      <c r="BF36" s="167">
        <f t="shared" si="40"/>
        <v>121.5409531378529</v>
      </c>
      <c r="BG36" s="167">
        <f t="shared" si="40"/>
        <v>138.51451276989641</v>
      </c>
      <c r="BH36" s="167">
        <f t="shared" si="40"/>
        <v>152.7633919010232</v>
      </c>
      <c r="BI36" s="167">
        <f t="shared" si="40"/>
        <v>158.35941751981298</v>
      </c>
      <c r="BJ36" s="167">
        <f t="shared" si="40"/>
        <v>171.24532739580437</v>
      </c>
      <c r="BK36" s="167">
        <f t="shared" si="40"/>
        <v>163.32090470639577</v>
      </c>
      <c r="BL36" s="167">
        <f t="shared" si="40"/>
        <v>147.77899715783852</v>
      </c>
      <c r="BM36" s="167">
        <f t="shared" si="40"/>
        <v>143.70097109901747</v>
      </c>
      <c r="BN36" s="167">
        <f t="shared" si="40"/>
        <v>205.13447627247714</v>
      </c>
      <c r="BO36" s="167">
        <f t="shared" si="40"/>
        <v>183.90402670213427</v>
      </c>
      <c r="BP36" s="167">
        <f t="shared" si="40"/>
        <v>151.08512738734163</v>
      </c>
      <c r="BQ36" s="167">
        <f t="shared" si="40"/>
        <v>134.09403102819894</v>
      </c>
      <c r="BR36" s="167">
        <f t="shared" ref="BR36:DU36" si="41">SUM(BR33:BR35)</f>
        <v>130.04881985750262</v>
      </c>
      <c r="BS36" s="167">
        <f t="shared" si="41"/>
        <v>148.21052866378915</v>
      </c>
      <c r="BT36" s="167">
        <f t="shared" si="41"/>
        <v>163.45682933409483</v>
      </c>
      <c r="BU36" s="167">
        <f t="shared" si="41"/>
        <v>169.44457674619989</v>
      </c>
      <c r="BV36" s="167">
        <f t="shared" si="41"/>
        <v>183.23250031351068</v>
      </c>
      <c r="BW36" s="167">
        <f t="shared" si="41"/>
        <v>174.75336803584349</v>
      </c>
      <c r="BX36" s="167">
        <f t="shared" si="41"/>
        <v>158.12352695888723</v>
      </c>
      <c r="BY36" s="167">
        <f t="shared" si="41"/>
        <v>153.76003907594873</v>
      </c>
      <c r="BZ36" s="167">
        <f t="shared" si="41"/>
        <v>219.49388961155057</v>
      </c>
      <c r="CA36" s="167">
        <f t="shared" si="41"/>
        <v>196.77730857128373</v>
      </c>
      <c r="CB36" s="167">
        <f t="shared" si="41"/>
        <v>161.66108630445555</v>
      </c>
      <c r="CC36" s="167">
        <f t="shared" si="41"/>
        <v>143.48061320017288</v>
      </c>
      <c r="CD36" s="167">
        <f t="shared" si="41"/>
        <v>139.15223724752781</v>
      </c>
      <c r="CE36" s="167">
        <f t="shared" si="41"/>
        <v>158.58526567025442</v>
      </c>
      <c r="CF36" s="167">
        <f t="shared" si="41"/>
        <v>174.8988073874815</v>
      </c>
      <c r="CG36" s="167">
        <f t="shared" si="41"/>
        <v>181.3056971184339</v>
      </c>
      <c r="CH36" s="167">
        <f t="shared" si="41"/>
        <v>196.05877533545646</v>
      </c>
      <c r="CI36" s="167">
        <f t="shared" si="41"/>
        <v>186.98610379835256</v>
      </c>
      <c r="CJ36" s="167">
        <f t="shared" si="41"/>
        <v>169.19217384600935</v>
      </c>
      <c r="CK36" s="167">
        <f t="shared" si="41"/>
        <v>164.52324181126514</v>
      </c>
      <c r="CL36" s="167">
        <f t="shared" si="41"/>
        <v>234.85846188435914</v>
      </c>
      <c r="CM36" s="167">
        <f t="shared" si="41"/>
        <v>210.55172017127362</v>
      </c>
      <c r="CN36" s="167">
        <f t="shared" si="41"/>
        <v>172.97736234576746</v>
      </c>
      <c r="CO36" s="167">
        <f t="shared" si="41"/>
        <v>153.524256124185</v>
      </c>
      <c r="CP36" s="167">
        <f t="shared" si="41"/>
        <v>148.89289385485478</v>
      </c>
      <c r="CQ36" s="167">
        <f t="shared" si="41"/>
        <v>169.68623426717221</v>
      </c>
      <c r="CR36" s="167">
        <f t="shared" si="41"/>
        <v>187.14172390460519</v>
      </c>
      <c r="CS36" s="167">
        <f t="shared" si="41"/>
        <v>193.99709591672428</v>
      </c>
      <c r="CT36" s="167">
        <f t="shared" si="41"/>
        <v>209.78288960893843</v>
      </c>
      <c r="CU36" s="167">
        <f t="shared" si="41"/>
        <v>200.07513106423724</v>
      </c>
      <c r="CV36" s="167">
        <f t="shared" si="41"/>
        <v>181.03562601523004</v>
      </c>
      <c r="CW36" s="167">
        <f t="shared" si="41"/>
        <v>176.03986873805371</v>
      </c>
      <c r="CX36" s="167">
        <f t="shared" si="41"/>
        <v>251.29855421626434</v>
      </c>
      <c r="CY36" s="167">
        <f t="shared" si="41"/>
        <v>225.29034058326272</v>
      </c>
      <c r="CZ36" s="167">
        <f t="shared" si="41"/>
        <v>185.08577770997118</v>
      </c>
      <c r="DA36" s="167">
        <f t="shared" si="41"/>
        <v>164.27095405287795</v>
      </c>
      <c r="DB36" s="167">
        <f t="shared" si="41"/>
        <v>159.3153964246946</v>
      </c>
      <c r="DC36" s="167">
        <f t="shared" si="41"/>
        <v>181.56427066587429</v>
      </c>
      <c r="DD36" s="167">
        <f t="shared" si="41"/>
        <v>200.24164457792756</v>
      </c>
      <c r="DE36" s="167">
        <f t="shared" si="41"/>
        <v>207.57689263089497</v>
      </c>
      <c r="DF36" s="167">
        <f t="shared" si="41"/>
        <v>224.46769188156412</v>
      </c>
      <c r="DG36" s="167">
        <f t="shared" si="41"/>
        <v>214.08039023873386</v>
      </c>
      <c r="DH36" s="167">
        <f t="shared" si="41"/>
        <v>193.70811983629613</v>
      </c>
      <c r="DI36" s="167">
        <f t="shared" si="41"/>
        <v>188.36265954971748</v>
      </c>
      <c r="DJ36" s="167">
        <f t="shared" si="41"/>
        <v>268.88945301140279</v>
      </c>
      <c r="DK36" s="167">
        <f t="shared" si="41"/>
        <v>241.0606644240911</v>
      </c>
      <c r="DL36" s="167">
        <f t="shared" si="41"/>
        <v>198.04178214966916</v>
      </c>
      <c r="DM36" s="167">
        <f t="shared" si="41"/>
        <v>175.76992083657939</v>
      </c>
      <c r="DN36" s="167">
        <f t="shared" si="41"/>
        <v>170.46747417442319</v>
      </c>
      <c r="DO36" s="167">
        <f t="shared" si="41"/>
        <v>194.27376961248549</v>
      </c>
      <c r="DP36" s="167">
        <f t="shared" si="41"/>
        <v>214.2585596983825</v>
      </c>
      <c r="DQ36" s="167">
        <f t="shared" si="41"/>
        <v>222.10727511505763</v>
      </c>
      <c r="DR36" s="167">
        <f t="shared" si="41"/>
        <v>240.18043031327363</v>
      </c>
      <c r="DS36" s="167">
        <f t="shared" si="41"/>
        <v>229.06601755544523</v>
      </c>
      <c r="DT36" s="167">
        <f t="shared" si="41"/>
        <v>207.26768822483683</v>
      </c>
      <c r="DU36" s="167">
        <f t="shared" si="41"/>
        <v>201.54804571819773</v>
      </c>
    </row>
    <row r="37" spans="3:125" x14ac:dyDescent="0.25">
      <c r="D37" s="164"/>
      <c r="E37" s="165"/>
      <c r="F37" s="608"/>
      <c r="G37" s="608"/>
      <c r="H37" s="608"/>
      <c r="I37" s="608"/>
      <c r="J37" s="608"/>
      <c r="K37" s="608"/>
      <c r="L37" s="608"/>
      <c r="M37" s="608"/>
      <c r="N37" s="608"/>
      <c r="O37" s="608"/>
      <c r="P37" s="608"/>
      <c r="Q37" s="608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</row>
    <row r="38" spans="3:125" x14ac:dyDescent="0.25">
      <c r="D38" s="164"/>
      <c r="E38" s="165"/>
      <c r="F38" s="608"/>
      <c r="G38" s="608"/>
      <c r="H38" s="608"/>
      <c r="I38" s="608"/>
      <c r="J38" s="608"/>
      <c r="K38" s="608"/>
      <c r="L38" s="608"/>
      <c r="M38" s="608"/>
      <c r="N38" s="608"/>
      <c r="O38" s="608"/>
      <c r="P38" s="608"/>
      <c r="Q38" s="608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</row>
    <row r="39" spans="3:125" ht="15" customHeight="1" x14ac:dyDescent="0.25">
      <c r="D39" s="786" t="s">
        <v>118</v>
      </c>
      <c r="E39" s="787"/>
      <c r="F39" s="787"/>
      <c r="G39" s="788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</row>
    <row r="40" spans="3:125" ht="15" customHeight="1" x14ac:dyDescent="0.25">
      <c r="D40" s="610"/>
      <c r="E40" s="610"/>
      <c r="F40" s="610"/>
      <c r="G40" s="610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</row>
    <row r="41" spans="3:125" x14ac:dyDescent="0.25">
      <c r="D41" s="789"/>
      <c r="E41" s="790"/>
      <c r="F41" s="399" t="s">
        <v>2</v>
      </c>
      <c r="G41" s="396" t="s">
        <v>14</v>
      </c>
      <c r="H41" s="397" t="s">
        <v>15</v>
      </c>
      <c r="I41" s="396" t="s">
        <v>16</v>
      </c>
      <c r="J41" s="397" t="s">
        <v>17</v>
      </c>
      <c r="K41" s="396" t="s">
        <v>18</v>
      </c>
      <c r="L41" s="397" t="s">
        <v>19</v>
      </c>
      <c r="M41" s="396" t="s">
        <v>20</v>
      </c>
      <c r="N41" s="397" t="s">
        <v>21</v>
      </c>
      <c r="O41" s="399" t="s">
        <v>22</v>
      </c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</row>
    <row r="42" spans="3:125" x14ac:dyDescent="0.25">
      <c r="D42" s="776" t="s">
        <v>68</v>
      </c>
      <c r="E42" s="778"/>
      <c r="F42" s="185">
        <v>578</v>
      </c>
      <c r="G42" s="186">
        <f>Z4</f>
        <v>1212.3100000000002</v>
      </c>
      <c r="H42" s="186">
        <f>AL4</f>
        <v>1297.1717000000003</v>
      </c>
      <c r="I42" s="186">
        <f>AX4</f>
        <v>1387.9737190000005</v>
      </c>
      <c r="J42" s="186">
        <f>BJ4</f>
        <v>1485.1318793300006</v>
      </c>
      <c r="K42" s="186">
        <f>BV4</f>
        <v>1589.0911108831008</v>
      </c>
      <c r="L42" s="186">
        <f>CH4</f>
        <v>1700.327488644918</v>
      </c>
      <c r="M42" s="186">
        <f>CT4</f>
        <v>1819.3504128500624</v>
      </c>
      <c r="N42" s="186">
        <f>DF4</f>
        <v>1946.7049417495668</v>
      </c>
      <c r="O42" s="186">
        <f>DR4</f>
        <v>2082.9742876720366</v>
      </c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</row>
    <row r="43" spans="3:125" x14ac:dyDescent="0.25">
      <c r="D43" s="791" t="s">
        <v>111</v>
      </c>
      <c r="E43" s="792"/>
      <c r="F43" s="167">
        <f>SUM(F33:Q33)</f>
        <v>883.86531722183099</v>
      </c>
      <c r="G43" s="167">
        <f>SUM(R33:AC33)</f>
        <v>945.68199012475804</v>
      </c>
      <c r="H43" s="167">
        <f>SUM(AD33:AO33)</f>
        <v>1011.8797294334913</v>
      </c>
      <c r="I43" s="167">
        <f>SUM(AP33:BA33)</f>
        <v>1082.711310493836</v>
      </c>
      <c r="J43" s="167">
        <f>SUM(BB33:BM33)</f>
        <v>1158.5011022284043</v>
      </c>
      <c r="K43" s="167">
        <f>SUM(BN33:BY33)</f>
        <v>1239.5961793843928</v>
      </c>
      <c r="L43" s="167">
        <f>SUM(BZ33:CK33)</f>
        <v>1326.3679119413005</v>
      </c>
      <c r="M43" s="167">
        <f>SUM(CL33:CW33)</f>
        <v>1419.2136657771916</v>
      </c>
      <c r="N43" s="167">
        <f>SUM(CX33:DI33)</f>
        <v>1518.5586223815947</v>
      </c>
      <c r="O43" s="167">
        <f>SUM(DJ33:DU33)</f>
        <v>1624.8577259483068</v>
      </c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</row>
    <row r="44" spans="3:125" x14ac:dyDescent="0.25">
      <c r="D44" s="791" t="s">
        <v>112</v>
      </c>
      <c r="E44" s="792"/>
      <c r="F44" s="167">
        <f>SUM(F34:Q34)</f>
        <v>249.29534588308059</v>
      </c>
      <c r="G44" s="167">
        <f>SUM(R34:AC34)</f>
        <v>266.73081772749589</v>
      </c>
      <c r="H44" s="167">
        <f>SUM(AD34:AO34)</f>
        <v>285.40197496842063</v>
      </c>
      <c r="I44" s="167">
        <f>SUM(AP34:BA34)</f>
        <v>305.38011321621008</v>
      </c>
      <c r="J44" s="167">
        <f>SUM(BB34:BM34)</f>
        <v>326.75672114134483</v>
      </c>
      <c r="K44" s="167">
        <f>SUM(BN34:BY34)</f>
        <v>349.62969162123898</v>
      </c>
      <c r="L44" s="167">
        <f>SUM(BZ34:CK34)</f>
        <v>374.1037700347257</v>
      </c>
      <c r="M44" s="167">
        <f>SUM(CL34:CW34)</f>
        <v>400.29103393715661</v>
      </c>
      <c r="N44" s="167">
        <f>SUM(CX34:DI34)</f>
        <v>428.31140631275753</v>
      </c>
      <c r="O44" s="167">
        <f>SUM(DJ34:DU34)</f>
        <v>458.2932047546505</v>
      </c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</row>
    <row r="45" spans="3:125" x14ac:dyDescent="0.25">
      <c r="D45" s="782" t="s">
        <v>119</v>
      </c>
      <c r="E45" s="783"/>
      <c r="F45" s="167">
        <f>SUM(F35:Q35)</f>
        <v>196.35739378555041</v>
      </c>
      <c r="G45" s="167">
        <f>SUM(R35:AC35)</f>
        <v>284.20745306575759</v>
      </c>
      <c r="H45" s="167">
        <f>SUM(AD35:AO35)</f>
        <v>298.7829646553605</v>
      </c>
      <c r="I45" s="167">
        <f>SUM(AP35:BA35)</f>
        <v>319.69777218123579</v>
      </c>
      <c r="J45" s="167">
        <f>SUM(BB35:BM35)</f>
        <v>342.07661623392238</v>
      </c>
      <c r="K45" s="167">
        <f>SUM(BN35:BY35)</f>
        <v>366.02197937029689</v>
      </c>
      <c r="L45" s="167">
        <f>SUM(BZ35:CK35)</f>
        <v>391.64351792621773</v>
      </c>
      <c r="M45" s="167">
        <f>SUM(CL35:CW35)</f>
        <v>419.05856418105304</v>
      </c>
      <c r="N45" s="167">
        <f>SUM(CX35:DI35)</f>
        <v>448.39266367372676</v>
      </c>
      <c r="O45" s="167">
        <f>SUM(DJ35:DU35)</f>
        <v>479.78015013088765</v>
      </c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</row>
    <row r="46" spans="3:125" ht="21.75" customHeight="1" x14ac:dyDescent="0.25">
      <c r="D46" s="781" t="s">
        <v>120</v>
      </c>
      <c r="E46" s="781"/>
      <c r="F46" s="168">
        <f t="shared" ref="F46:O46" si="42">SUM(F43:F45)</f>
        <v>1329.518056890462</v>
      </c>
      <c r="G46" s="168">
        <f t="shared" si="42"/>
        <v>1496.6202609180116</v>
      </c>
      <c r="H46" s="168">
        <f t="shared" si="42"/>
        <v>1596.0646690572726</v>
      </c>
      <c r="I46" s="168">
        <f t="shared" si="42"/>
        <v>1707.7891958912819</v>
      </c>
      <c r="J46" s="168">
        <f t="shared" si="42"/>
        <v>1827.3344396036714</v>
      </c>
      <c r="K46" s="168">
        <f t="shared" si="42"/>
        <v>1955.2478503759285</v>
      </c>
      <c r="L46" s="168">
        <f t="shared" si="42"/>
        <v>2092.1151999022436</v>
      </c>
      <c r="M46" s="168">
        <f t="shared" si="42"/>
        <v>2238.5632638954012</v>
      </c>
      <c r="N46" s="168">
        <f t="shared" si="42"/>
        <v>2395.2626923680791</v>
      </c>
      <c r="O46" s="168">
        <f t="shared" si="42"/>
        <v>2562.931080833845</v>
      </c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</row>
    <row r="47" spans="3:125" x14ac:dyDescent="0.25">
      <c r="D47" s="164"/>
      <c r="E47" s="165"/>
      <c r="F47" s="608"/>
      <c r="G47" s="608"/>
      <c r="H47" s="608"/>
      <c r="I47" s="608"/>
      <c r="J47" s="608"/>
      <c r="K47" s="608"/>
      <c r="L47" s="608"/>
      <c r="M47" s="608"/>
      <c r="N47" s="608"/>
      <c r="O47" s="608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</row>
    <row r="48" spans="3:125" x14ac:dyDescent="0.25">
      <c r="D48" s="164"/>
      <c r="E48" s="165"/>
      <c r="F48" s="608"/>
      <c r="G48" s="608"/>
      <c r="H48" s="608"/>
      <c r="I48" s="608"/>
      <c r="J48" s="608"/>
      <c r="K48" s="608"/>
      <c r="L48" s="608"/>
      <c r="M48" s="608"/>
      <c r="N48" s="608"/>
      <c r="O48" s="608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</row>
    <row r="49" spans="4:125" ht="13.5" x14ac:dyDescent="0.25">
      <c r="F49" s="611"/>
      <c r="G49" s="612"/>
    </row>
    <row r="50" spans="4:125" x14ac:dyDescent="0.25">
      <c r="D50" s="779" t="s">
        <v>473</v>
      </c>
      <c r="E50" s="779"/>
      <c r="F50" s="401" t="s">
        <v>150</v>
      </c>
      <c r="G50" s="401" t="s">
        <v>151</v>
      </c>
    </row>
    <row r="51" spans="4:125" x14ac:dyDescent="0.25">
      <c r="D51" s="779" t="s">
        <v>111</v>
      </c>
      <c r="E51" s="779"/>
      <c r="F51" s="168">
        <v>1016.1016949152501</v>
      </c>
      <c r="G51" s="168">
        <f>1199</f>
        <v>1199</v>
      </c>
    </row>
    <row r="52" spans="4:125" x14ac:dyDescent="0.25">
      <c r="D52" s="779" t="s">
        <v>112</v>
      </c>
      <c r="E52" s="779" t="s">
        <v>121</v>
      </c>
      <c r="F52" s="168">
        <v>1862.71186440678</v>
      </c>
      <c r="G52" s="168">
        <v>2198</v>
      </c>
      <c r="H52" s="613"/>
      <c r="I52" s="401" t="s">
        <v>707</v>
      </c>
    </row>
    <row r="53" spans="4:125" x14ac:dyDescent="0.25">
      <c r="D53" s="779" t="s">
        <v>122</v>
      </c>
      <c r="E53" s="779" t="s">
        <v>123</v>
      </c>
      <c r="F53" s="168">
        <v>1016.1016949152501</v>
      </c>
      <c r="G53" s="168">
        <f>1199</f>
        <v>1199</v>
      </c>
      <c r="I53" s="168">
        <f>SUMPRODUCT(F51:F53,F43:F45)/SUM(F43:F45)</f>
        <v>1174.8479217436029</v>
      </c>
    </row>
    <row r="55" spans="4:125" x14ac:dyDescent="0.25">
      <c r="D55" s="336" t="s">
        <v>124</v>
      </c>
      <c r="E55" s="614"/>
      <c r="I55" s="615"/>
    </row>
    <row r="57" spans="4:125" x14ac:dyDescent="0.25">
      <c r="F57" s="776" t="s">
        <v>2</v>
      </c>
      <c r="G57" s="777"/>
      <c r="H57" s="777"/>
      <c r="I57" s="777"/>
      <c r="J57" s="777"/>
      <c r="K57" s="777"/>
      <c r="L57" s="777"/>
      <c r="M57" s="777"/>
      <c r="N57" s="777"/>
      <c r="O57" s="777"/>
      <c r="P57" s="777"/>
      <c r="Q57" s="778"/>
      <c r="R57" s="776" t="s">
        <v>14</v>
      </c>
      <c r="S57" s="777"/>
      <c r="T57" s="777"/>
      <c r="U57" s="777"/>
      <c r="V57" s="777"/>
      <c r="W57" s="777"/>
      <c r="X57" s="777"/>
      <c r="Y57" s="777"/>
      <c r="Z57" s="777"/>
      <c r="AA57" s="777"/>
      <c r="AB57" s="777"/>
      <c r="AC57" s="778"/>
      <c r="AD57" s="776" t="s">
        <v>15</v>
      </c>
      <c r="AE57" s="777"/>
      <c r="AF57" s="777"/>
      <c r="AG57" s="777"/>
      <c r="AH57" s="777"/>
      <c r="AI57" s="777"/>
      <c r="AJ57" s="777"/>
      <c r="AK57" s="777"/>
      <c r="AL57" s="777"/>
      <c r="AM57" s="777"/>
      <c r="AN57" s="777"/>
      <c r="AO57" s="778"/>
      <c r="AP57" s="776" t="s">
        <v>16</v>
      </c>
      <c r="AQ57" s="777"/>
      <c r="AR57" s="777"/>
      <c r="AS57" s="777"/>
      <c r="AT57" s="777"/>
      <c r="AU57" s="777"/>
      <c r="AV57" s="777"/>
      <c r="AW57" s="777"/>
      <c r="AX57" s="777"/>
      <c r="AY57" s="777"/>
      <c r="AZ57" s="777"/>
      <c r="BA57" s="778"/>
      <c r="BB57" s="776" t="s">
        <v>17</v>
      </c>
      <c r="BC57" s="777"/>
      <c r="BD57" s="777"/>
      <c r="BE57" s="777"/>
      <c r="BF57" s="777"/>
      <c r="BG57" s="777"/>
      <c r="BH57" s="777"/>
      <c r="BI57" s="777"/>
      <c r="BJ57" s="777"/>
      <c r="BK57" s="777"/>
      <c r="BL57" s="777"/>
      <c r="BM57" s="778"/>
      <c r="BN57" s="776" t="s">
        <v>18</v>
      </c>
      <c r="BO57" s="777"/>
      <c r="BP57" s="777"/>
      <c r="BQ57" s="777"/>
      <c r="BR57" s="777"/>
      <c r="BS57" s="777"/>
      <c r="BT57" s="777"/>
      <c r="BU57" s="777"/>
      <c r="BV57" s="777"/>
      <c r="BW57" s="777"/>
      <c r="BX57" s="777"/>
      <c r="BY57" s="778"/>
      <c r="BZ57" s="776" t="s">
        <v>19</v>
      </c>
      <c r="CA57" s="777"/>
      <c r="CB57" s="777"/>
      <c r="CC57" s="777"/>
      <c r="CD57" s="777"/>
      <c r="CE57" s="777"/>
      <c r="CF57" s="777"/>
      <c r="CG57" s="777"/>
      <c r="CH57" s="777"/>
      <c r="CI57" s="777"/>
      <c r="CJ57" s="777"/>
      <c r="CK57" s="778"/>
      <c r="CL57" s="776" t="s">
        <v>20</v>
      </c>
      <c r="CM57" s="777"/>
      <c r="CN57" s="777"/>
      <c r="CO57" s="777"/>
      <c r="CP57" s="777"/>
      <c r="CQ57" s="777"/>
      <c r="CR57" s="777"/>
      <c r="CS57" s="777"/>
      <c r="CT57" s="777"/>
      <c r="CU57" s="777"/>
      <c r="CV57" s="777"/>
      <c r="CW57" s="778"/>
      <c r="CX57" s="776" t="s">
        <v>21</v>
      </c>
      <c r="CY57" s="777"/>
      <c r="CZ57" s="777"/>
      <c r="DA57" s="777"/>
      <c r="DB57" s="777"/>
      <c r="DC57" s="777"/>
      <c r="DD57" s="777"/>
      <c r="DE57" s="777"/>
      <c r="DF57" s="777"/>
      <c r="DG57" s="777"/>
      <c r="DH57" s="777"/>
      <c r="DI57" s="778"/>
      <c r="DJ57" s="776" t="s">
        <v>22</v>
      </c>
      <c r="DK57" s="777"/>
      <c r="DL57" s="777"/>
      <c r="DM57" s="777"/>
      <c r="DN57" s="777"/>
      <c r="DO57" s="777"/>
      <c r="DP57" s="777"/>
      <c r="DQ57" s="777"/>
      <c r="DR57" s="777"/>
      <c r="DS57" s="777"/>
      <c r="DT57" s="777"/>
      <c r="DU57" s="778"/>
    </row>
    <row r="58" spans="4:125" x14ac:dyDescent="0.25">
      <c r="D58" s="780" t="s">
        <v>109</v>
      </c>
      <c r="E58" s="780"/>
      <c r="F58" s="399" t="s">
        <v>97</v>
      </c>
      <c r="G58" s="399" t="s">
        <v>98</v>
      </c>
      <c r="H58" s="399" t="s">
        <v>99</v>
      </c>
      <c r="I58" s="399" t="s">
        <v>100</v>
      </c>
      <c r="J58" s="399" t="s">
        <v>101</v>
      </c>
      <c r="K58" s="399" t="s">
        <v>102</v>
      </c>
      <c r="L58" s="399" t="s">
        <v>103</v>
      </c>
      <c r="M58" s="399" t="s">
        <v>104</v>
      </c>
      <c r="N58" s="399" t="s">
        <v>105</v>
      </c>
      <c r="O58" s="399" t="s">
        <v>106</v>
      </c>
      <c r="P58" s="399" t="s">
        <v>107</v>
      </c>
      <c r="Q58" s="399" t="s">
        <v>108</v>
      </c>
      <c r="R58" s="399" t="s">
        <v>97</v>
      </c>
      <c r="S58" s="399" t="s">
        <v>98</v>
      </c>
      <c r="T58" s="399" t="s">
        <v>99</v>
      </c>
      <c r="U58" s="399" t="s">
        <v>100</v>
      </c>
      <c r="V58" s="399" t="s">
        <v>101</v>
      </c>
      <c r="W58" s="399" t="s">
        <v>102</v>
      </c>
      <c r="X58" s="399" t="s">
        <v>103</v>
      </c>
      <c r="Y58" s="399" t="s">
        <v>104</v>
      </c>
      <c r="Z58" s="399" t="s">
        <v>105</v>
      </c>
      <c r="AA58" s="399" t="s">
        <v>106</v>
      </c>
      <c r="AB58" s="399" t="s">
        <v>107</v>
      </c>
      <c r="AC58" s="399" t="s">
        <v>108</v>
      </c>
      <c r="AD58" s="177" t="s">
        <v>97</v>
      </c>
      <c r="AE58" s="178" t="s">
        <v>98</v>
      </c>
      <c r="AF58" s="178" t="s">
        <v>99</v>
      </c>
      <c r="AG58" s="178" t="s">
        <v>100</v>
      </c>
      <c r="AH58" s="178" t="s">
        <v>101</v>
      </c>
      <c r="AI58" s="178" t="s">
        <v>102</v>
      </c>
      <c r="AJ58" s="178" t="s">
        <v>103</v>
      </c>
      <c r="AK58" s="178" t="s">
        <v>104</v>
      </c>
      <c r="AL58" s="178" t="s">
        <v>105</v>
      </c>
      <c r="AM58" s="178" t="s">
        <v>106</v>
      </c>
      <c r="AN58" s="178" t="s">
        <v>107</v>
      </c>
      <c r="AO58" s="179" t="s">
        <v>108</v>
      </c>
      <c r="AP58" s="178" t="s">
        <v>97</v>
      </c>
      <c r="AQ58" s="178" t="s">
        <v>98</v>
      </c>
      <c r="AR58" s="178" t="s">
        <v>99</v>
      </c>
      <c r="AS58" s="178" t="s">
        <v>100</v>
      </c>
      <c r="AT58" s="178" t="s">
        <v>101</v>
      </c>
      <c r="AU58" s="178" t="s">
        <v>102</v>
      </c>
      <c r="AV58" s="178" t="s">
        <v>103</v>
      </c>
      <c r="AW58" s="178" t="s">
        <v>104</v>
      </c>
      <c r="AX58" s="178" t="s">
        <v>105</v>
      </c>
      <c r="AY58" s="178" t="s">
        <v>106</v>
      </c>
      <c r="AZ58" s="178" t="s">
        <v>107</v>
      </c>
      <c r="BA58" s="180" t="s">
        <v>108</v>
      </c>
      <c r="BB58" s="178" t="s">
        <v>97</v>
      </c>
      <c r="BC58" s="178" t="s">
        <v>98</v>
      </c>
      <c r="BD58" s="178" t="s">
        <v>99</v>
      </c>
      <c r="BE58" s="178" t="s">
        <v>100</v>
      </c>
      <c r="BF58" s="178" t="s">
        <v>101</v>
      </c>
      <c r="BG58" s="178" t="s">
        <v>102</v>
      </c>
      <c r="BH58" s="178" t="s">
        <v>103</v>
      </c>
      <c r="BI58" s="178" t="s">
        <v>104</v>
      </c>
      <c r="BJ58" s="178" t="s">
        <v>105</v>
      </c>
      <c r="BK58" s="178" t="s">
        <v>106</v>
      </c>
      <c r="BL58" s="178" t="s">
        <v>107</v>
      </c>
      <c r="BM58" s="180" t="s">
        <v>108</v>
      </c>
      <c r="BN58" s="178" t="s">
        <v>97</v>
      </c>
      <c r="BO58" s="178" t="s">
        <v>98</v>
      </c>
      <c r="BP58" s="178" t="s">
        <v>99</v>
      </c>
      <c r="BQ58" s="178" t="s">
        <v>100</v>
      </c>
      <c r="BR58" s="178" t="s">
        <v>101</v>
      </c>
      <c r="BS58" s="178" t="s">
        <v>102</v>
      </c>
      <c r="BT58" s="178" t="s">
        <v>103</v>
      </c>
      <c r="BU58" s="178" t="s">
        <v>104</v>
      </c>
      <c r="BV58" s="178" t="s">
        <v>105</v>
      </c>
      <c r="BW58" s="178" t="s">
        <v>106</v>
      </c>
      <c r="BX58" s="178" t="s">
        <v>107</v>
      </c>
      <c r="BY58" s="180" t="s">
        <v>108</v>
      </c>
      <c r="BZ58" s="178" t="s">
        <v>97</v>
      </c>
      <c r="CA58" s="178" t="s">
        <v>98</v>
      </c>
      <c r="CB58" s="178" t="s">
        <v>99</v>
      </c>
      <c r="CC58" s="178" t="s">
        <v>100</v>
      </c>
      <c r="CD58" s="178" t="s">
        <v>101</v>
      </c>
      <c r="CE58" s="178" t="s">
        <v>102</v>
      </c>
      <c r="CF58" s="178" t="s">
        <v>103</v>
      </c>
      <c r="CG58" s="178" t="s">
        <v>104</v>
      </c>
      <c r="CH58" s="178" t="s">
        <v>105</v>
      </c>
      <c r="CI58" s="178" t="s">
        <v>106</v>
      </c>
      <c r="CJ58" s="178" t="s">
        <v>107</v>
      </c>
      <c r="CK58" s="180" t="s">
        <v>108</v>
      </c>
      <c r="CL58" s="178" t="s">
        <v>97</v>
      </c>
      <c r="CM58" s="178" t="s">
        <v>98</v>
      </c>
      <c r="CN58" s="178" t="s">
        <v>99</v>
      </c>
      <c r="CO58" s="178" t="s">
        <v>100</v>
      </c>
      <c r="CP58" s="178" t="s">
        <v>101</v>
      </c>
      <c r="CQ58" s="178" t="s">
        <v>102</v>
      </c>
      <c r="CR58" s="178" t="s">
        <v>103</v>
      </c>
      <c r="CS58" s="178" t="s">
        <v>104</v>
      </c>
      <c r="CT58" s="178" t="s">
        <v>105</v>
      </c>
      <c r="CU58" s="178" t="s">
        <v>106</v>
      </c>
      <c r="CV58" s="178" t="s">
        <v>107</v>
      </c>
      <c r="CW58" s="180" t="s">
        <v>108</v>
      </c>
      <c r="CX58" s="178" t="s">
        <v>97</v>
      </c>
      <c r="CY58" s="178" t="s">
        <v>98</v>
      </c>
      <c r="CZ58" s="178" t="s">
        <v>99</v>
      </c>
      <c r="DA58" s="178" t="s">
        <v>100</v>
      </c>
      <c r="DB58" s="178" t="s">
        <v>101</v>
      </c>
      <c r="DC58" s="178" t="s">
        <v>102</v>
      </c>
      <c r="DD58" s="178" t="s">
        <v>103</v>
      </c>
      <c r="DE58" s="178" t="s">
        <v>104</v>
      </c>
      <c r="DF58" s="178" t="s">
        <v>105</v>
      </c>
      <c r="DG58" s="178" t="s">
        <v>106</v>
      </c>
      <c r="DH58" s="178" t="s">
        <v>107</v>
      </c>
      <c r="DI58" s="180" t="s">
        <v>108</v>
      </c>
      <c r="DJ58" s="178" t="s">
        <v>97</v>
      </c>
      <c r="DK58" s="178" t="s">
        <v>98</v>
      </c>
      <c r="DL58" s="178" t="s">
        <v>99</v>
      </c>
      <c r="DM58" s="178" t="s">
        <v>100</v>
      </c>
      <c r="DN58" s="178" t="s">
        <v>101</v>
      </c>
      <c r="DO58" s="178" t="s">
        <v>102</v>
      </c>
      <c r="DP58" s="178" t="s">
        <v>103</v>
      </c>
      <c r="DQ58" s="178" t="s">
        <v>104</v>
      </c>
      <c r="DR58" s="178" t="s">
        <v>105</v>
      </c>
      <c r="DS58" s="178" t="s">
        <v>106</v>
      </c>
      <c r="DT58" s="178" t="s">
        <v>107</v>
      </c>
      <c r="DU58" s="180" t="s">
        <v>108</v>
      </c>
    </row>
    <row r="59" spans="4:125" x14ac:dyDescent="0.25">
      <c r="D59" s="335" t="s">
        <v>111</v>
      </c>
      <c r="E59" s="395" t="s">
        <v>125</v>
      </c>
      <c r="F59" s="184">
        <f t="shared" ref="F59:AK59" si="43">$F$51*F33</f>
        <v>58906.813098304854</v>
      </c>
      <c r="G59" s="184">
        <f t="shared" si="43"/>
        <v>71587.323099147936</v>
      </c>
      <c r="H59" s="184">
        <f t="shared" si="43"/>
        <v>82907.62978828889</v>
      </c>
      <c r="I59" s="184">
        <f t="shared" si="43"/>
        <v>57833.174996487047</v>
      </c>
      <c r="J59" s="184">
        <f t="shared" si="43"/>
        <v>57833.174996487047</v>
      </c>
      <c r="K59" s="184">
        <f t="shared" si="43"/>
        <v>74950.538616948877</v>
      </c>
      <c r="L59" s="184">
        <f t="shared" si="43"/>
        <v>83182.41833193542</v>
      </c>
      <c r="M59" s="184">
        <f t="shared" si="43"/>
        <v>88721.124959141904</v>
      </c>
      <c r="N59" s="184">
        <f t="shared" si="43"/>
        <v>89141.404228721294</v>
      </c>
      <c r="O59" s="184">
        <f t="shared" si="43"/>
        <v>83182.41833193542</v>
      </c>
      <c r="P59" s="184">
        <f t="shared" si="43"/>
        <v>79413.889706419257</v>
      </c>
      <c r="Q59" s="184">
        <f t="shared" si="43"/>
        <v>70437.136752089806</v>
      </c>
      <c r="R59" s="184">
        <f t="shared" si="43"/>
        <v>105306.70404976228</v>
      </c>
      <c r="S59" s="184">
        <f t="shared" si="43"/>
        <v>94854.159958291624</v>
      </c>
      <c r="T59" s="184">
        <f t="shared" si="43"/>
        <v>75829.348351615452</v>
      </c>
      <c r="U59" s="184">
        <f t="shared" si="43"/>
        <v>56436.807559969959</v>
      </c>
      <c r="V59" s="184">
        <f t="shared" si="43"/>
        <v>56436.807559969959</v>
      </c>
      <c r="W59" s="184">
        <f t="shared" si="43"/>
        <v>71869.903858779377</v>
      </c>
      <c r="X59" s="184">
        <f t="shared" si="43"/>
        <v>85626.277251043488</v>
      </c>
      <c r="Y59" s="184">
        <f t="shared" si="43"/>
        <v>89246.707122086635</v>
      </c>
      <c r="Z59" s="184">
        <f t="shared" si="43"/>
        <v>93972.088723578956</v>
      </c>
      <c r="AA59" s="184">
        <f t="shared" si="43"/>
        <v>85626.277251043488</v>
      </c>
      <c r="AB59" s="184">
        <f t="shared" si="43"/>
        <v>74724.034341122853</v>
      </c>
      <c r="AC59" s="184">
        <f t="shared" si="43"/>
        <v>70979.956989329323</v>
      </c>
      <c r="AD59" s="184">
        <f t="shared" si="43"/>
        <v>112678.17333324568</v>
      </c>
      <c r="AE59" s="184">
        <f t="shared" si="43"/>
        <v>101493.95115537205</v>
      </c>
      <c r="AF59" s="184">
        <f t="shared" si="43"/>
        <v>81137.402736228556</v>
      </c>
      <c r="AG59" s="184">
        <f t="shared" si="43"/>
        <v>60387.384089167848</v>
      </c>
      <c r="AH59" s="184">
        <f t="shared" si="43"/>
        <v>60387.384089167848</v>
      </c>
      <c r="AI59" s="184">
        <f t="shared" si="43"/>
        <v>76900.797128893944</v>
      </c>
      <c r="AJ59" s="184">
        <f t="shared" si="43"/>
        <v>91620.116658616535</v>
      </c>
      <c r="AK59" s="184">
        <f t="shared" si="43"/>
        <v>95493.976620632719</v>
      </c>
      <c r="AL59" s="184">
        <f t="shared" ref="AL59:BQ59" si="44">$F$51*AL33</f>
        <v>100550.13493422949</v>
      </c>
      <c r="AM59" s="184">
        <f t="shared" si="44"/>
        <v>91620.116658616535</v>
      </c>
      <c r="AN59" s="184">
        <f t="shared" si="44"/>
        <v>79954.716745001468</v>
      </c>
      <c r="AO59" s="184">
        <f t="shared" si="44"/>
        <v>75948.553978582378</v>
      </c>
      <c r="AP59" s="184">
        <f t="shared" si="44"/>
        <v>120565.64546657288</v>
      </c>
      <c r="AQ59" s="184">
        <f t="shared" si="44"/>
        <v>108598.5277362481</v>
      </c>
      <c r="AR59" s="184">
        <f t="shared" si="44"/>
        <v>86817.020927764563</v>
      </c>
      <c r="AS59" s="184">
        <f t="shared" si="44"/>
        <v>64614.500975409617</v>
      </c>
      <c r="AT59" s="184">
        <f t="shared" si="44"/>
        <v>64614.500975409617</v>
      </c>
      <c r="AU59" s="184">
        <f t="shared" si="44"/>
        <v>82283.852927916538</v>
      </c>
      <c r="AV59" s="184">
        <f t="shared" si="44"/>
        <v>98033.524824719716</v>
      </c>
      <c r="AW59" s="184">
        <f t="shared" si="44"/>
        <v>102178.55498407701</v>
      </c>
      <c r="AX59" s="184">
        <f t="shared" si="44"/>
        <v>107588.64437962556</v>
      </c>
      <c r="AY59" s="184">
        <f t="shared" si="44"/>
        <v>98033.524824719716</v>
      </c>
      <c r="AZ59" s="184">
        <f t="shared" si="44"/>
        <v>85551.546917151587</v>
      </c>
      <c r="BA59" s="184">
        <f t="shared" si="44"/>
        <v>81264.952757083171</v>
      </c>
      <c r="BB59" s="184">
        <f t="shared" si="44"/>
        <v>129005.240649233</v>
      </c>
      <c r="BC59" s="184">
        <f t="shared" si="44"/>
        <v>116200.42467778547</v>
      </c>
      <c r="BD59" s="184">
        <f t="shared" si="44"/>
        <v>92894.212392708083</v>
      </c>
      <c r="BE59" s="184">
        <f t="shared" si="44"/>
        <v>69137.516043688302</v>
      </c>
      <c r="BF59" s="184">
        <f t="shared" si="44"/>
        <v>69137.516043688302</v>
      </c>
      <c r="BG59" s="184">
        <f t="shared" si="44"/>
        <v>88043.722632870689</v>
      </c>
      <c r="BH59" s="184">
        <f t="shared" si="44"/>
        <v>104895.87156245009</v>
      </c>
      <c r="BI59" s="184">
        <f t="shared" si="44"/>
        <v>109331.05383296244</v>
      </c>
      <c r="BJ59" s="184">
        <f t="shared" si="44"/>
        <v>115119.84948619937</v>
      </c>
      <c r="BK59" s="184">
        <f t="shared" si="44"/>
        <v>104895.87156245009</v>
      </c>
      <c r="BL59" s="184">
        <f t="shared" si="44"/>
        <v>91540.155201352187</v>
      </c>
      <c r="BM59" s="184">
        <f t="shared" si="44"/>
        <v>86953.499450078991</v>
      </c>
      <c r="BN59" s="184">
        <f t="shared" si="44"/>
        <v>138035.60749467928</v>
      </c>
      <c r="BO59" s="184">
        <f t="shared" si="44"/>
        <v>124334.45440523047</v>
      </c>
      <c r="BP59" s="184">
        <f t="shared" si="44"/>
        <v>99396.80726019766</v>
      </c>
      <c r="BQ59" s="184">
        <f t="shared" si="44"/>
        <v>73977.142166746489</v>
      </c>
      <c r="BR59" s="184">
        <f t="shared" ref="BR59:CW59" si="45">$F$51*BR33</f>
        <v>73977.142166746489</v>
      </c>
      <c r="BS59" s="184">
        <f t="shared" si="45"/>
        <v>94206.783217171644</v>
      </c>
      <c r="BT59" s="184">
        <f t="shared" si="45"/>
        <v>112238.58257182162</v>
      </c>
      <c r="BU59" s="184">
        <f t="shared" si="45"/>
        <v>116984.22760126981</v>
      </c>
      <c r="BV59" s="184">
        <f t="shared" si="45"/>
        <v>123178.23895023332</v>
      </c>
      <c r="BW59" s="184">
        <f t="shared" si="45"/>
        <v>112238.58257182162</v>
      </c>
      <c r="BX59" s="184">
        <f t="shared" si="45"/>
        <v>97947.966065446861</v>
      </c>
      <c r="BY59" s="184">
        <f t="shared" si="45"/>
        <v>93040.244411584528</v>
      </c>
      <c r="BZ59" s="184">
        <f t="shared" si="45"/>
        <v>147698.10001930688</v>
      </c>
      <c r="CA59" s="184">
        <f t="shared" si="45"/>
        <v>133037.86621359663</v>
      </c>
      <c r="CB59" s="184">
        <f t="shared" si="45"/>
        <v>106354.58376841151</v>
      </c>
      <c r="CC59" s="184">
        <f t="shared" si="45"/>
        <v>79155.542118418743</v>
      </c>
      <c r="CD59" s="184">
        <f t="shared" si="45"/>
        <v>79155.542118418743</v>
      </c>
      <c r="CE59" s="184">
        <f t="shared" si="45"/>
        <v>100801.25804237368</v>
      </c>
      <c r="CF59" s="184">
        <f t="shared" si="45"/>
        <v>120095.28335184914</v>
      </c>
      <c r="CG59" s="184">
        <f t="shared" si="45"/>
        <v>125173.12353335871</v>
      </c>
      <c r="CH59" s="184">
        <f t="shared" si="45"/>
        <v>131800.71567674968</v>
      </c>
      <c r="CI59" s="184">
        <f t="shared" si="45"/>
        <v>120095.28335184914</v>
      </c>
      <c r="CJ59" s="184">
        <f t="shared" si="45"/>
        <v>104804.32369002813</v>
      </c>
      <c r="CK59" s="184">
        <f t="shared" si="45"/>
        <v>99553.061520395451</v>
      </c>
      <c r="CL59" s="184">
        <f t="shared" si="45"/>
        <v>158036.96702065837</v>
      </c>
      <c r="CM59" s="184">
        <f t="shared" si="45"/>
        <v>142350.5168485484</v>
      </c>
      <c r="CN59" s="184">
        <f t="shared" si="45"/>
        <v>113799.40463220033</v>
      </c>
      <c r="CO59" s="184">
        <f t="shared" si="45"/>
        <v>84696.430066708068</v>
      </c>
      <c r="CP59" s="184">
        <f t="shared" si="45"/>
        <v>84696.430066708068</v>
      </c>
      <c r="CQ59" s="184">
        <f t="shared" si="45"/>
        <v>107857.34610533984</v>
      </c>
      <c r="CR59" s="184">
        <f t="shared" si="45"/>
        <v>128501.95318647857</v>
      </c>
      <c r="CS59" s="184">
        <f t="shared" si="45"/>
        <v>133935.24218069381</v>
      </c>
      <c r="CT59" s="184">
        <f t="shared" si="45"/>
        <v>141026.76577412218</v>
      </c>
      <c r="CU59" s="184">
        <f t="shared" si="45"/>
        <v>128501.95318647857</v>
      </c>
      <c r="CV59" s="184">
        <f t="shared" si="45"/>
        <v>112140.62634833013</v>
      </c>
      <c r="CW59" s="184">
        <f t="shared" si="45"/>
        <v>106521.77582682314</v>
      </c>
      <c r="CX59" s="184">
        <f t="shared" ref="CX59:DU59" si="46">$F$51*CX33</f>
        <v>169099.55471210449</v>
      </c>
      <c r="CY59" s="184">
        <f t="shared" si="46"/>
        <v>152315.05302794676</v>
      </c>
      <c r="CZ59" s="184">
        <f t="shared" si="46"/>
        <v>121765.36295645434</v>
      </c>
      <c r="DA59" s="184">
        <f t="shared" si="46"/>
        <v>90625.180171377622</v>
      </c>
      <c r="DB59" s="184">
        <f t="shared" si="46"/>
        <v>90625.180171377622</v>
      </c>
      <c r="DC59" s="184">
        <f t="shared" si="46"/>
        <v>115407.36033271364</v>
      </c>
      <c r="DD59" s="184">
        <f t="shared" si="46"/>
        <v>137497.08990953208</v>
      </c>
      <c r="DE59" s="184">
        <f t="shared" si="46"/>
        <v>143310.70913334237</v>
      </c>
      <c r="DF59" s="184">
        <f t="shared" si="46"/>
        <v>150898.63937831071</v>
      </c>
      <c r="DG59" s="184">
        <f t="shared" si="46"/>
        <v>137497.08990953208</v>
      </c>
      <c r="DH59" s="184">
        <f t="shared" si="46"/>
        <v>119990.47019271324</v>
      </c>
      <c r="DI59" s="184">
        <f t="shared" si="46"/>
        <v>113978.30013470078</v>
      </c>
      <c r="DJ59" s="184">
        <f t="shared" si="46"/>
        <v>180936.52354195178</v>
      </c>
      <c r="DK59" s="184">
        <f t="shared" si="46"/>
        <v>162977.10673990304</v>
      </c>
      <c r="DL59" s="184">
        <f t="shared" si="46"/>
        <v>130288.93836340615</v>
      </c>
      <c r="DM59" s="184">
        <f t="shared" si="46"/>
        <v>96968.942783374048</v>
      </c>
      <c r="DN59" s="184">
        <f t="shared" si="46"/>
        <v>96968.942783374048</v>
      </c>
      <c r="DO59" s="184">
        <f t="shared" si="46"/>
        <v>123485.87555600359</v>
      </c>
      <c r="DP59" s="184">
        <f t="shared" si="46"/>
        <v>147121.88620319933</v>
      </c>
      <c r="DQ59" s="184">
        <f t="shared" si="46"/>
        <v>153342.45877267636</v>
      </c>
      <c r="DR59" s="184">
        <f t="shared" si="46"/>
        <v>161461.54413479246</v>
      </c>
      <c r="DS59" s="184">
        <f t="shared" si="46"/>
        <v>147121.88620319933</v>
      </c>
      <c r="DT59" s="184">
        <f t="shared" si="46"/>
        <v>128389.80310620315</v>
      </c>
      <c r="DU59" s="184">
        <f t="shared" si="46"/>
        <v>121956.78114412983</v>
      </c>
    </row>
    <row r="60" spans="4:125" x14ac:dyDescent="0.25">
      <c r="D60" s="335" t="s">
        <v>112</v>
      </c>
      <c r="E60" s="395" t="s">
        <v>126</v>
      </c>
      <c r="F60" s="184">
        <f t="shared" ref="F60:AK60" si="47">$F$52*F34</f>
        <v>30458.051091525434</v>
      </c>
      <c r="G60" s="184">
        <f t="shared" si="47"/>
        <v>37014.569788738612</v>
      </c>
      <c r="H60" s="184">
        <f t="shared" si="47"/>
        <v>42867.788820197551</v>
      </c>
      <c r="I60" s="184">
        <f t="shared" si="47"/>
        <v>29902.921346101873</v>
      </c>
      <c r="J60" s="184">
        <f t="shared" si="47"/>
        <v>29902.921346101873</v>
      </c>
      <c r="K60" s="184">
        <f t="shared" si="47"/>
        <v>38753.536551412457</v>
      </c>
      <c r="L60" s="184">
        <f t="shared" si="47"/>
        <v>43009.869558596765</v>
      </c>
      <c r="M60" s="184">
        <f t="shared" si="47"/>
        <v>45873.684464877617</v>
      </c>
      <c r="N60" s="184">
        <f t="shared" si="47"/>
        <v>46090.991883022885</v>
      </c>
      <c r="O60" s="184">
        <f t="shared" si="47"/>
        <v>43009.869558596765</v>
      </c>
      <c r="P60" s="184">
        <f t="shared" si="47"/>
        <v>41061.333703766235</v>
      </c>
      <c r="Q60" s="184">
        <f t="shared" si="47"/>
        <v>36419.86040486805</v>
      </c>
      <c r="R60" s="184">
        <f t="shared" si="47"/>
        <v>54449.337920813574</v>
      </c>
      <c r="S60" s="184">
        <f t="shared" si="47"/>
        <v>49044.799714967274</v>
      </c>
      <c r="T60" s="184">
        <f t="shared" si="47"/>
        <v>39207.929352352738</v>
      </c>
      <c r="U60" s="184">
        <f t="shared" si="47"/>
        <v>29180.922845639729</v>
      </c>
      <c r="V60" s="184">
        <f t="shared" si="47"/>
        <v>29180.922845639729</v>
      </c>
      <c r="W60" s="184">
        <f t="shared" si="47"/>
        <v>37160.67952989832</v>
      </c>
      <c r="X60" s="184">
        <f t="shared" si="47"/>
        <v>44273.478569229446</v>
      </c>
      <c r="Y60" s="184">
        <f t="shared" si="47"/>
        <v>46145.439250610987</v>
      </c>
      <c r="Z60" s="184">
        <f t="shared" si="47"/>
        <v>48588.720539738286</v>
      </c>
      <c r="AA60" s="184">
        <f t="shared" si="47"/>
        <v>44273.478569229446</v>
      </c>
      <c r="AB60" s="184">
        <f t="shared" si="47"/>
        <v>38636.42142596771</v>
      </c>
      <c r="AC60" s="184">
        <f t="shared" si="47"/>
        <v>36700.528219841573</v>
      </c>
      <c r="AD60" s="184">
        <f t="shared" si="47"/>
        <v>58260.791575270538</v>
      </c>
      <c r="AE60" s="184">
        <f t="shared" si="47"/>
        <v>52477.935695014989</v>
      </c>
      <c r="AF60" s="184">
        <f t="shared" si="47"/>
        <v>41952.484407017444</v>
      </c>
      <c r="AG60" s="184">
        <f t="shared" si="47"/>
        <v>31223.587444834517</v>
      </c>
      <c r="AH60" s="184">
        <f t="shared" si="47"/>
        <v>31223.587444834517</v>
      </c>
      <c r="AI60" s="184">
        <f t="shared" si="47"/>
        <v>39761.92709699121</v>
      </c>
      <c r="AJ60" s="184">
        <f t="shared" si="47"/>
        <v>47372.622069075514</v>
      </c>
      <c r="AK60" s="184">
        <f t="shared" si="47"/>
        <v>49375.619998153757</v>
      </c>
      <c r="AL60" s="184">
        <f t="shared" ref="AL60:BQ60" si="48">$F$52*AL34</f>
        <v>51989.930977519965</v>
      </c>
      <c r="AM60" s="184">
        <f t="shared" si="48"/>
        <v>47372.622069075514</v>
      </c>
      <c r="AN60" s="184">
        <f t="shared" si="48"/>
        <v>41340.970925785448</v>
      </c>
      <c r="AO60" s="184">
        <f t="shared" si="48"/>
        <v>39269.565195230483</v>
      </c>
      <c r="AP60" s="184">
        <f t="shared" si="48"/>
        <v>62339.046985539477</v>
      </c>
      <c r="AQ60" s="184">
        <f t="shared" si="48"/>
        <v>56151.391193666044</v>
      </c>
      <c r="AR60" s="184">
        <f t="shared" si="48"/>
        <v>44889.158315508663</v>
      </c>
      <c r="AS60" s="184">
        <f t="shared" si="48"/>
        <v>33409.238565972933</v>
      </c>
      <c r="AT60" s="184">
        <f t="shared" si="48"/>
        <v>33409.238565972933</v>
      </c>
      <c r="AU60" s="184">
        <f t="shared" si="48"/>
        <v>42545.261993780594</v>
      </c>
      <c r="AV60" s="184">
        <f t="shared" si="48"/>
        <v>50688.70561391081</v>
      </c>
      <c r="AW60" s="184">
        <f t="shared" si="48"/>
        <v>52831.913398024524</v>
      </c>
      <c r="AX60" s="184">
        <f t="shared" si="48"/>
        <v>55629.226145946363</v>
      </c>
      <c r="AY60" s="184">
        <f t="shared" si="48"/>
        <v>50688.70561391081</v>
      </c>
      <c r="AZ60" s="184">
        <f t="shared" si="48"/>
        <v>44234.838890590443</v>
      </c>
      <c r="BA60" s="184">
        <f t="shared" si="48"/>
        <v>42018.434758896627</v>
      </c>
      <c r="BB60" s="184">
        <f t="shared" si="48"/>
        <v>66702.780274527249</v>
      </c>
      <c r="BC60" s="184">
        <f t="shared" si="48"/>
        <v>60081.988577222677</v>
      </c>
      <c r="BD60" s="184">
        <f t="shared" si="48"/>
        <v>48031.399397594272</v>
      </c>
      <c r="BE60" s="184">
        <f t="shared" si="48"/>
        <v>35747.885265591038</v>
      </c>
      <c r="BF60" s="184">
        <f t="shared" si="48"/>
        <v>35747.885265591038</v>
      </c>
      <c r="BG60" s="184">
        <f t="shared" si="48"/>
        <v>45523.430333345241</v>
      </c>
      <c r="BH60" s="184">
        <f t="shared" si="48"/>
        <v>54236.915006884563</v>
      </c>
      <c r="BI60" s="184">
        <f t="shared" si="48"/>
        <v>56530.147335886249</v>
      </c>
      <c r="BJ60" s="184">
        <f t="shared" si="48"/>
        <v>59523.271976162614</v>
      </c>
      <c r="BK60" s="184">
        <f t="shared" si="48"/>
        <v>54236.915006884563</v>
      </c>
      <c r="BL60" s="184">
        <f t="shared" si="48"/>
        <v>47331.277612931779</v>
      </c>
      <c r="BM60" s="184">
        <f t="shared" si="48"/>
        <v>44959.725192019396</v>
      </c>
      <c r="BN60" s="184">
        <f t="shared" si="48"/>
        <v>71371.974893744147</v>
      </c>
      <c r="BO60" s="184">
        <f t="shared" si="48"/>
        <v>64287.727777628264</v>
      </c>
      <c r="BP60" s="184">
        <f t="shared" si="48"/>
        <v>51393.597355425874</v>
      </c>
      <c r="BQ60" s="184">
        <f t="shared" si="48"/>
        <v>38250.237234182416</v>
      </c>
      <c r="BR60" s="184">
        <f t="shared" ref="BR60:CW60" si="49">$F$52*BR34</f>
        <v>38250.237234182416</v>
      </c>
      <c r="BS60" s="184">
        <f t="shared" si="49"/>
        <v>48710.070456679408</v>
      </c>
      <c r="BT60" s="184">
        <f t="shared" si="49"/>
        <v>58033.499057366498</v>
      </c>
      <c r="BU60" s="184">
        <f t="shared" si="49"/>
        <v>60487.2576493983</v>
      </c>
      <c r="BV60" s="184">
        <f t="shared" si="49"/>
        <v>63689.901014494011</v>
      </c>
      <c r="BW60" s="184">
        <f t="shared" si="49"/>
        <v>58033.499057366498</v>
      </c>
      <c r="BX60" s="184">
        <f t="shared" si="49"/>
        <v>50644.467045837009</v>
      </c>
      <c r="BY60" s="184">
        <f t="shared" si="49"/>
        <v>48106.905955460752</v>
      </c>
      <c r="BZ60" s="184">
        <f t="shared" si="49"/>
        <v>76368.013136306254</v>
      </c>
      <c r="CA60" s="184">
        <f t="shared" si="49"/>
        <v>68787.868722062252</v>
      </c>
      <c r="CB60" s="184">
        <f t="shared" si="49"/>
        <v>54991.149170305696</v>
      </c>
      <c r="CC60" s="184">
        <f t="shared" si="49"/>
        <v>40927.753840575191</v>
      </c>
      <c r="CD60" s="184">
        <f t="shared" si="49"/>
        <v>40927.753840575191</v>
      </c>
      <c r="CE60" s="184">
        <f t="shared" si="49"/>
        <v>52119.775388646973</v>
      </c>
      <c r="CF60" s="184">
        <f t="shared" si="49"/>
        <v>62095.843991382164</v>
      </c>
      <c r="CG60" s="184">
        <f t="shared" si="49"/>
        <v>64721.365684856173</v>
      </c>
      <c r="CH60" s="184">
        <f t="shared" si="49"/>
        <v>68148.1940855086</v>
      </c>
      <c r="CI60" s="184">
        <f t="shared" si="49"/>
        <v>62095.843991382164</v>
      </c>
      <c r="CJ60" s="184">
        <f t="shared" si="49"/>
        <v>54189.579739045599</v>
      </c>
      <c r="CK60" s="184">
        <f t="shared" si="49"/>
        <v>51474.389372343016</v>
      </c>
      <c r="CL60" s="184">
        <f t="shared" si="49"/>
        <v>81713.774055847709</v>
      </c>
      <c r="CM60" s="184">
        <f t="shared" si="49"/>
        <v>73603.019532606617</v>
      </c>
      <c r="CN60" s="184">
        <f t="shared" si="49"/>
        <v>58840.529612227096</v>
      </c>
      <c r="CO60" s="184">
        <f t="shared" si="49"/>
        <v>43792.696609415456</v>
      </c>
      <c r="CP60" s="184">
        <f t="shared" si="49"/>
        <v>43792.696609415456</v>
      </c>
      <c r="CQ60" s="184">
        <f t="shared" si="49"/>
        <v>55768.159665852261</v>
      </c>
      <c r="CR60" s="184">
        <f t="shared" si="49"/>
        <v>66442.5530707789</v>
      </c>
      <c r="CS60" s="184">
        <f t="shared" si="49"/>
        <v>69251.861282796119</v>
      </c>
      <c r="CT60" s="184">
        <f t="shared" si="49"/>
        <v>72918.567671494195</v>
      </c>
      <c r="CU60" s="184">
        <f t="shared" si="49"/>
        <v>66442.5530707789</v>
      </c>
      <c r="CV60" s="184">
        <f t="shared" si="49"/>
        <v>57982.850320778802</v>
      </c>
      <c r="CW60" s="184">
        <f t="shared" si="49"/>
        <v>55077.596628407024</v>
      </c>
      <c r="CX60" s="184">
        <f t="shared" ref="CX60:DU60" si="50">$F$52*CX34</f>
        <v>87433.738239757062</v>
      </c>
      <c r="CY60" s="184">
        <f t="shared" si="50"/>
        <v>78755.230899889066</v>
      </c>
      <c r="CZ60" s="184">
        <f t="shared" si="50"/>
        <v>62959.366685082983</v>
      </c>
      <c r="DA60" s="184">
        <f t="shared" si="50"/>
        <v>46858.185372074535</v>
      </c>
      <c r="DB60" s="184">
        <f t="shared" si="50"/>
        <v>46858.185372074535</v>
      </c>
      <c r="DC60" s="184">
        <f t="shared" si="50"/>
        <v>59671.930842461923</v>
      </c>
      <c r="DD60" s="184">
        <f t="shared" si="50"/>
        <v>71093.53178573343</v>
      </c>
      <c r="DE60" s="184">
        <f t="shared" si="50"/>
        <v>74099.49157259184</v>
      </c>
      <c r="DF60" s="184">
        <f t="shared" si="50"/>
        <v>78022.867408498787</v>
      </c>
      <c r="DG60" s="184">
        <f t="shared" si="50"/>
        <v>71093.53178573343</v>
      </c>
      <c r="DH60" s="184">
        <f t="shared" si="50"/>
        <v>62041.649843233317</v>
      </c>
      <c r="DI60" s="184">
        <f t="shared" si="50"/>
        <v>58933.028392395528</v>
      </c>
      <c r="DJ60" s="184">
        <f t="shared" si="50"/>
        <v>93554.099916540028</v>
      </c>
      <c r="DK60" s="184">
        <f t="shared" si="50"/>
        <v>84268.097062881294</v>
      </c>
      <c r="DL60" s="184">
        <f t="shared" si="50"/>
        <v>67366.522353038803</v>
      </c>
      <c r="DM60" s="184">
        <f t="shared" si="50"/>
        <v>50138.258348119758</v>
      </c>
      <c r="DN60" s="184">
        <f t="shared" si="50"/>
        <v>50138.258348119758</v>
      </c>
      <c r="DO60" s="184">
        <f t="shared" si="50"/>
        <v>63848.966001434273</v>
      </c>
      <c r="DP60" s="184">
        <f t="shared" si="50"/>
        <v>76070.079010734771</v>
      </c>
      <c r="DQ60" s="184">
        <f t="shared" si="50"/>
        <v>79286.455982673273</v>
      </c>
      <c r="DR60" s="184">
        <f t="shared" si="50"/>
        <v>83484.468127093714</v>
      </c>
      <c r="DS60" s="184">
        <f t="shared" si="50"/>
        <v>76070.079010734771</v>
      </c>
      <c r="DT60" s="184">
        <f t="shared" si="50"/>
        <v>66384.565332259648</v>
      </c>
      <c r="DU60" s="184">
        <f t="shared" si="50"/>
        <v>63058.340379863213</v>
      </c>
    </row>
    <row r="61" spans="4:125" x14ac:dyDescent="0.25">
      <c r="D61" s="616" t="s">
        <v>127</v>
      </c>
      <c r="E61" s="395" t="s">
        <v>125</v>
      </c>
      <c r="F61" s="184">
        <f t="shared" ref="F61:AK61" si="51">$F$53*F35</f>
        <v>0</v>
      </c>
      <c r="G61" s="184">
        <f t="shared" si="51"/>
        <v>0</v>
      </c>
      <c r="H61" s="184">
        <f t="shared" si="51"/>
        <v>0</v>
      </c>
      <c r="I61" s="184">
        <f t="shared" si="51"/>
        <v>17672.043929491454</v>
      </c>
      <c r="J61" s="184">
        <f t="shared" si="51"/>
        <v>21476.196929744383</v>
      </c>
      <c r="K61" s="184">
        <f t="shared" si="51"/>
        <v>24872.288936486668</v>
      </c>
      <c r="L61" s="184">
        <f t="shared" si="51"/>
        <v>17349.952498946113</v>
      </c>
      <c r="M61" s="184">
        <f t="shared" si="51"/>
        <v>17349.952498946113</v>
      </c>
      <c r="N61" s="184">
        <f t="shared" si="51"/>
        <v>22485.161585084661</v>
      </c>
      <c r="O61" s="184">
        <f t="shared" si="51"/>
        <v>24954.725499580625</v>
      </c>
      <c r="P61" s="184">
        <f t="shared" si="51"/>
        <v>26616.33748774257</v>
      </c>
      <c r="Q61" s="184">
        <f t="shared" si="51"/>
        <v>26742.421268616388</v>
      </c>
      <c r="R61" s="184">
        <f t="shared" si="51"/>
        <v>24954.725499580625</v>
      </c>
      <c r="S61" s="184">
        <f t="shared" si="51"/>
        <v>23824.166911925775</v>
      </c>
      <c r="T61" s="184">
        <f t="shared" si="51"/>
        <v>21131.141025626941</v>
      </c>
      <c r="U61" s="184">
        <f t="shared" si="51"/>
        <v>31592.011214928687</v>
      </c>
      <c r="V61" s="184">
        <f t="shared" si="51"/>
        <v>28456.247987487488</v>
      </c>
      <c r="W61" s="184">
        <f t="shared" si="51"/>
        <v>22748.804505484637</v>
      </c>
      <c r="X61" s="184">
        <f t="shared" si="51"/>
        <v>16931.042267990986</v>
      </c>
      <c r="Y61" s="184">
        <f t="shared" si="51"/>
        <v>16931.042267990986</v>
      </c>
      <c r="Z61" s="184">
        <f t="shared" si="51"/>
        <v>21560.971157633812</v>
      </c>
      <c r="AA61" s="184">
        <f t="shared" si="51"/>
        <v>25687.883175313047</v>
      </c>
      <c r="AB61" s="184">
        <f t="shared" si="51"/>
        <v>26774.012136625992</v>
      </c>
      <c r="AC61" s="184">
        <f t="shared" si="51"/>
        <v>28191.626617073685</v>
      </c>
      <c r="AD61" s="184">
        <f t="shared" si="51"/>
        <v>25687.883175313047</v>
      </c>
      <c r="AE61" s="184">
        <f t="shared" si="51"/>
        <v>22417.210302336855</v>
      </c>
      <c r="AF61" s="184">
        <f t="shared" si="51"/>
        <v>21293.987096798795</v>
      </c>
      <c r="AG61" s="184">
        <f t="shared" si="51"/>
        <v>33803.451999973709</v>
      </c>
      <c r="AH61" s="184">
        <f t="shared" si="51"/>
        <v>30448.185346611615</v>
      </c>
      <c r="AI61" s="184">
        <f t="shared" si="51"/>
        <v>24341.220820868566</v>
      </c>
      <c r="AJ61" s="184">
        <f t="shared" si="51"/>
        <v>18116.215226750355</v>
      </c>
      <c r="AK61" s="184">
        <f t="shared" si="51"/>
        <v>18116.215226750355</v>
      </c>
      <c r="AL61" s="184">
        <f t="shared" ref="AL61:BQ61" si="52">$F$53*AL35</f>
        <v>23070.239138668185</v>
      </c>
      <c r="AM61" s="184">
        <f t="shared" si="52"/>
        <v>27486.03499758496</v>
      </c>
      <c r="AN61" s="184">
        <f t="shared" si="52"/>
        <v>28648.192986189817</v>
      </c>
      <c r="AO61" s="184">
        <f t="shared" si="52"/>
        <v>30165.040480268843</v>
      </c>
      <c r="AP61" s="184">
        <f t="shared" si="52"/>
        <v>27486.03499758496</v>
      </c>
      <c r="AQ61" s="184">
        <f t="shared" si="52"/>
        <v>23986.415023500434</v>
      </c>
      <c r="AR61" s="184">
        <f t="shared" si="52"/>
        <v>22784.566193574712</v>
      </c>
      <c r="AS61" s="184">
        <f t="shared" si="52"/>
        <v>36169.693639971862</v>
      </c>
      <c r="AT61" s="184">
        <f t="shared" si="52"/>
        <v>32579.558320874432</v>
      </c>
      <c r="AU61" s="184">
        <f t="shared" si="52"/>
        <v>26045.106278329367</v>
      </c>
      <c r="AV61" s="184">
        <f t="shared" si="52"/>
        <v>19384.350292622883</v>
      </c>
      <c r="AW61" s="184">
        <f t="shared" si="52"/>
        <v>19384.350292622883</v>
      </c>
      <c r="AX61" s="184">
        <f t="shared" si="52"/>
        <v>24685.155878374957</v>
      </c>
      <c r="AY61" s="184">
        <f t="shared" si="52"/>
        <v>29410.057447415915</v>
      </c>
      <c r="AZ61" s="184">
        <f t="shared" si="52"/>
        <v>30653.566495223102</v>
      </c>
      <c r="BA61" s="184">
        <f t="shared" si="52"/>
        <v>32276.593313887668</v>
      </c>
      <c r="BB61" s="184">
        <f t="shared" si="52"/>
        <v>29410.057447415915</v>
      </c>
      <c r="BC61" s="184">
        <f t="shared" si="52"/>
        <v>25665.464075145472</v>
      </c>
      <c r="BD61" s="184">
        <f t="shared" si="52"/>
        <v>24379.48582712495</v>
      </c>
      <c r="BE61" s="184">
        <f t="shared" si="52"/>
        <v>38701.572194769898</v>
      </c>
      <c r="BF61" s="184">
        <f t="shared" si="52"/>
        <v>34860.127403335639</v>
      </c>
      <c r="BG61" s="184">
        <f t="shared" si="52"/>
        <v>27868.263717812424</v>
      </c>
      <c r="BH61" s="184">
        <f t="shared" si="52"/>
        <v>20741.25481310649</v>
      </c>
      <c r="BI61" s="184">
        <f t="shared" si="52"/>
        <v>20741.25481310649</v>
      </c>
      <c r="BJ61" s="184">
        <f t="shared" si="52"/>
        <v>26413.116789861208</v>
      </c>
      <c r="BK61" s="184">
        <f t="shared" si="52"/>
        <v>31468.761468735021</v>
      </c>
      <c r="BL61" s="184">
        <f t="shared" si="52"/>
        <v>32799.316149888728</v>
      </c>
      <c r="BM61" s="184">
        <f t="shared" si="52"/>
        <v>34535.954845859807</v>
      </c>
      <c r="BN61" s="184">
        <f t="shared" si="52"/>
        <v>31468.761468735021</v>
      </c>
      <c r="BO61" s="184">
        <f t="shared" si="52"/>
        <v>27462.046560405652</v>
      </c>
      <c r="BP61" s="184">
        <f t="shared" si="52"/>
        <v>26086.049835023696</v>
      </c>
      <c r="BQ61" s="184">
        <f t="shared" si="52"/>
        <v>41410.682248403784</v>
      </c>
      <c r="BR61" s="184">
        <f t="shared" ref="BR61:CW61" si="53">$F$53*BR35</f>
        <v>37300.336321569135</v>
      </c>
      <c r="BS61" s="184">
        <f t="shared" si="53"/>
        <v>29819.042178059299</v>
      </c>
      <c r="BT61" s="184">
        <f t="shared" si="53"/>
        <v>22193.142650023943</v>
      </c>
      <c r="BU61" s="184">
        <f t="shared" si="53"/>
        <v>22193.142650023943</v>
      </c>
      <c r="BV61" s="184">
        <f t="shared" si="53"/>
        <v>28262.034965151495</v>
      </c>
      <c r="BW61" s="184">
        <f t="shared" si="53"/>
        <v>33671.574771546482</v>
      </c>
      <c r="BX61" s="184">
        <f t="shared" si="53"/>
        <v>35095.268280380944</v>
      </c>
      <c r="BY61" s="184">
        <f t="shared" si="53"/>
        <v>36953.471685069999</v>
      </c>
      <c r="BZ61" s="184">
        <f t="shared" si="53"/>
        <v>33671.574771546482</v>
      </c>
      <c r="CA61" s="184">
        <f t="shared" si="53"/>
        <v>29384.389819634056</v>
      </c>
      <c r="CB61" s="184">
        <f t="shared" si="53"/>
        <v>27912.073323475353</v>
      </c>
      <c r="CC61" s="184">
        <f t="shared" si="53"/>
        <v>44309.430005792055</v>
      </c>
      <c r="CD61" s="184">
        <f t="shared" si="53"/>
        <v>39911.359864078986</v>
      </c>
      <c r="CE61" s="184">
        <f t="shared" si="53"/>
        <v>31906.375130523451</v>
      </c>
      <c r="CF61" s="184">
        <f t="shared" si="53"/>
        <v>23746.662635525619</v>
      </c>
      <c r="CG61" s="184">
        <f t="shared" si="53"/>
        <v>23746.662635525619</v>
      </c>
      <c r="CH61" s="184">
        <f t="shared" si="53"/>
        <v>30240.377412712103</v>
      </c>
      <c r="CI61" s="184">
        <f t="shared" si="53"/>
        <v>36028.585005554742</v>
      </c>
      <c r="CJ61" s="184">
        <f t="shared" si="53"/>
        <v>37551.937060007614</v>
      </c>
      <c r="CK61" s="184">
        <f t="shared" si="53"/>
        <v>39540.214703024896</v>
      </c>
      <c r="CL61" s="184">
        <f t="shared" si="53"/>
        <v>36028.585005554742</v>
      </c>
      <c r="CM61" s="184">
        <f t="shared" si="53"/>
        <v>31441.297107008439</v>
      </c>
      <c r="CN61" s="184">
        <f t="shared" si="53"/>
        <v>29865.918456118634</v>
      </c>
      <c r="CO61" s="184">
        <f t="shared" si="53"/>
        <v>47411.090106197509</v>
      </c>
      <c r="CP61" s="184">
        <f t="shared" si="53"/>
        <v>42705.155054564522</v>
      </c>
      <c r="CQ61" s="184">
        <f t="shared" si="53"/>
        <v>34139.821389660101</v>
      </c>
      <c r="CR61" s="184">
        <f t="shared" si="53"/>
        <v>25408.92902001242</v>
      </c>
      <c r="CS61" s="184">
        <f t="shared" si="53"/>
        <v>25408.92902001242</v>
      </c>
      <c r="CT61" s="184">
        <f t="shared" si="53"/>
        <v>32357.20383160195</v>
      </c>
      <c r="CU61" s="184">
        <f t="shared" si="53"/>
        <v>38550.58595594357</v>
      </c>
      <c r="CV61" s="184">
        <f t="shared" si="53"/>
        <v>40180.572654208147</v>
      </c>
      <c r="CW61" s="184">
        <f t="shared" si="53"/>
        <v>42308.029732236646</v>
      </c>
      <c r="CX61" s="184">
        <f t="shared" ref="CX61:DU61" si="54">$F$53*CX35</f>
        <v>38550.58595594357</v>
      </c>
      <c r="CY61" s="184">
        <f t="shared" si="54"/>
        <v>33642.187904499042</v>
      </c>
      <c r="CZ61" s="184">
        <f t="shared" si="54"/>
        <v>31956.532748046942</v>
      </c>
      <c r="DA61" s="184">
        <f t="shared" si="54"/>
        <v>50729.866413631345</v>
      </c>
      <c r="DB61" s="184">
        <f t="shared" si="54"/>
        <v>45694.515908384026</v>
      </c>
      <c r="DC61" s="184">
        <f t="shared" si="54"/>
        <v>36529.608886936301</v>
      </c>
      <c r="DD61" s="184">
        <f t="shared" si="54"/>
        <v>27187.554051413284</v>
      </c>
      <c r="DE61" s="184">
        <f t="shared" si="54"/>
        <v>27187.554051413284</v>
      </c>
      <c r="DF61" s="184">
        <f t="shared" si="54"/>
        <v>34622.208099814095</v>
      </c>
      <c r="DG61" s="184">
        <f t="shared" si="54"/>
        <v>41249.126972859616</v>
      </c>
      <c r="DH61" s="184">
        <f t="shared" si="54"/>
        <v>42993.212740002709</v>
      </c>
      <c r="DI61" s="184">
        <f t="shared" si="54"/>
        <v>45269.591813493214</v>
      </c>
      <c r="DJ61" s="184">
        <f t="shared" si="54"/>
        <v>41249.126972859616</v>
      </c>
      <c r="DK61" s="184">
        <f t="shared" si="54"/>
        <v>35997.141057813969</v>
      </c>
      <c r="DL61" s="184">
        <f t="shared" si="54"/>
        <v>34193.49004041023</v>
      </c>
      <c r="DM61" s="184">
        <f t="shared" si="54"/>
        <v>54280.957062585534</v>
      </c>
      <c r="DN61" s="184">
        <f t="shared" si="54"/>
        <v>48893.132021970909</v>
      </c>
      <c r="DO61" s="184">
        <f t="shared" si="54"/>
        <v>39086.681509021844</v>
      </c>
      <c r="DP61" s="184">
        <f t="shared" si="54"/>
        <v>29090.682835012216</v>
      </c>
      <c r="DQ61" s="184">
        <f t="shared" si="54"/>
        <v>29090.682835012216</v>
      </c>
      <c r="DR61" s="184">
        <f t="shared" si="54"/>
        <v>37045.762666801078</v>
      </c>
      <c r="DS61" s="184">
        <f t="shared" si="54"/>
        <v>44136.565860959796</v>
      </c>
      <c r="DT61" s="184">
        <f t="shared" si="54"/>
        <v>46002.737631802906</v>
      </c>
      <c r="DU61" s="184">
        <f t="shared" si="54"/>
        <v>48438.463240437741</v>
      </c>
    </row>
    <row r="62" spans="4:125" x14ac:dyDescent="0.25">
      <c r="D62" s="775" t="s">
        <v>114</v>
      </c>
      <c r="E62" s="775"/>
      <c r="F62" s="184">
        <f>SUM(F59:F61)</f>
        <v>89364.864189830289</v>
      </c>
      <c r="G62" s="184">
        <f>SUM(G59:G61)</f>
        <v>108601.89288788656</v>
      </c>
      <c r="H62" s="184">
        <f>SUM(H59:H61)</f>
        <v>125775.41860848645</v>
      </c>
      <c r="I62" s="184">
        <f>SUM(I59:I61)</f>
        <v>105408.14027208037</v>
      </c>
      <c r="J62" s="184">
        <f t="shared" ref="J62:BU62" si="55">SUM(J59:J61)</f>
        <v>109212.29327233331</v>
      </c>
      <c r="K62" s="184">
        <f t="shared" si="55"/>
        <v>138576.36410484801</v>
      </c>
      <c r="L62" s="184">
        <f t="shared" si="55"/>
        <v>143542.24038947831</v>
      </c>
      <c r="M62" s="184">
        <f t="shared" si="55"/>
        <v>151944.76192296564</v>
      </c>
      <c r="N62" s="184">
        <f t="shared" si="55"/>
        <v>157717.55769682882</v>
      </c>
      <c r="O62" s="184">
        <f t="shared" si="55"/>
        <v>151147.01339011281</v>
      </c>
      <c r="P62" s="184">
        <f t="shared" si="55"/>
        <v>147091.56089792805</v>
      </c>
      <c r="Q62" s="184">
        <f t="shared" si="55"/>
        <v>133599.41842557426</v>
      </c>
      <c r="R62" s="184">
        <f t="shared" si="55"/>
        <v>184710.76747015648</v>
      </c>
      <c r="S62" s="184">
        <f t="shared" si="55"/>
        <v>167723.12658518465</v>
      </c>
      <c r="T62" s="184">
        <f t="shared" si="55"/>
        <v>136168.41872959514</v>
      </c>
      <c r="U62" s="184">
        <f t="shared" si="55"/>
        <v>117209.74162053838</v>
      </c>
      <c r="V62" s="184">
        <f t="shared" si="55"/>
        <v>114073.97839309718</v>
      </c>
      <c r="W62" s="184">
        <f t="shared" si="55"/>
        <v>131779.38789416233</v>
      </c>
      <c r="X62" s="184">
        <f t="shared" si="55"/>
        <v>146830.79808826392</v>
      </c>
      <c r="Y62" s="184">
        <f t="shared" si="55"/>
        <v>152323.1886406886</v>
      </c>
      <c r="Z62" s="184">
        <f t="shared" si="55"/>
        <v>164121.78042095105</v>
      </c>
      <c r="AA62" s="184">
        <f t="shared" si="55"/>
        <v>155587.63899558596</v>
      </c>
      <c r="AB62" s="184">
        <f t="shared" si="55"/>
        <v>140134.46790371655</v>
      </c>
      <c r="AC62" s="184">
        <f t="shared" si="55"/>
        <v>135872.1118262446</v>
      </c>
      <c r="AD62" s="184">
        <f t="shared" si="55"/>
        <v>196626.84808382925</v>
      </c>
      <c r="AE62" s="184">
        <f t="shared" si="55"/>
        <v>176389.09715272387</v>
      </c>
      <c r="AF62" s="184">
        <f t="shared" si="55"/>
        <v>144383.8742400448</v>
      </c>
      <c r="AG62" s="184">
        <f t="shared" si="55"/>
        <v>125414.42353397608</v>
      </c>
      <c r="AH62" s="184">
        <f t="shared" si="55"/>
        <v>122059.15688061398</v>
      </c>
      <c r="AI62" s="184">
        <f t="shared" si="55"/>
        <v>141003.94504675371</v>
      </c>
      <c r="AJ62" s="184">
        <f t="shared" si="55"/>
        <v>157108.9539544424</v>
      </c>
      <c r="AK62" s="184">
        <f t="shared" si="55"/>
        <v>162985.81184553684</v>
      </c>
      <c r="AL62" s="184">
        <f t="shared" si="55"/>
        <v>175610.30505041761</v>
      </c>
      <c r="AM62" s="184">
        <f t="shared" si="55"/>
        <v>166478.77372527702</v>
      </c>
      <c r="AN62" s="184">
        <f t="shared" si="55"/>
        <v>149943.88065697675</v>
      </c>
      <c r="AO62" s="184">
        <f t="shared" si="55"/>
        <v>145383.15965408168</v>
      </c>
      <c r="AP62" s="184">
        <f t="shared" si="55"/>
        <v>210390.72744969733</v>
      </c>
      <c r="AQ62" s="184">
        <f t="shared" si="55"/>
        <v>188736.33395341458</v>
      </c>
      <c r="AR62" s="184">
        <f t="shared" si="55"/>
        <v>154490.74543684794</v>
      </c>
      <c r="AS62" s="184">
        <f t="shared" si="55"/>
        <v>134193.43318135443</v>
      </c>
      <c r="AT62" s="184">
        <f t="shared" si="55"/>
        <v>130603.29786225699</v>
      </c>
      <c r="AU62" s="184">
        <f t="shared" si="55"/>
        <v>150874.22120002648</v>
      </c>
      <c r="AV62" s="184">
        <f t="shared" si="55"/>
        <v>168106.58073125343</v>
      </c>
      <c r="AW62" s="184">
        <f t="shared" si="55"/>
        <v>174394.81867472443</v>
      </c>
      <c r="AX62" s="184">
        <f t="shared" si="55"/>
        <v>187903.02640394689</v>
      </c>
      <c r="AY62" s="184">
        <f t="shared" si="55"/>
        <v>178132.28788604646</v>
      </c>
      <c r="AZ62" s="184">
        <f t="shared" si="55"/>
        <v>160439.95230296513</v>
      </c>
      <c r="BA62" s="184">
        <f t="shared" si="55"/>
        <v>155559.98082986745</v>
      </c>
      <c r="BB62" s="184">
        <f t="shared" si="55"/>
        <v>225118.07837117618</v>
      </c>
      <c r="BC62" s="184">
        <f t="shared" si="55"/>
        <v>201947.8773301536</v>
      </c>
      <c r="BD62" s="184">
        <f t="shared" si="55"/>
        <v>165305.09761742729</v>
      </c>
      <c r="BE62" s="184">
        <f t="shared" si="55"/>
        <v>143586.97350404924</v>
      </c>
      <c r="BF62" s="184">
        <f t="shared" si="55"/>
        <v>139745.52871261499</v>
      </c>
      <c r="BG62" s="184">
        <f t="shared" si="55"/>
        <v>161435.41668402834</v>
      </c>
      <c r="BH62" s="184">
        <f t="shared" si="55"/>
        <v>179874.04138244115</v>
      </c>
      <c r="BI62" s="184">
        <f t="shared" si="55"/>
        <v>186602.45598195519</v>
      </c>
      <c r="BJ62" s="184">
        <f t="shared" si="55"/>
        <v>201056.23825222318</v>
      </c>
      <c r="BK62" s="184">
        <f t="shared" si="55"/>
        <v>190601.54803806968</v>
      </c>
      <c r="BL62" s="184">
        <f t="shared" si="55"/>
        <v>171670.7489641727</v>
      </c>
      <c r="BM62" s="184">
        <f t="shared" si="55"/>
        <v>166449.1794879582</v>
      </c>
      <c r="BN62" s="184">
        <f t="shared" si="55"/>
        <v>240876.34385715847</v>
      </c>
      <c r="BO62" s="184">
        <f t="shared" si="55"/>
        <v>216084.22874326439</v>
      </c>
      <c r="BP62" s="184">
        <f t="shared" si="55"/>
        <v>176876.45445064723</v>
      </c>
      <c r="BQ62" s="184">
        <f t="shared" si="55"/>
        <v>153638.0616493327</v>
      </c>
      <c r="BR62" s="184">
        <f t="shared" si="55"/>
        <v>149527.71572249805</v>
      </c>
      <c r="BS62" s="184">
        <f t="shared" si="55"/>
        <v>172735.89585191035</v>
      </c>
      <c r="BT62" s="184">
        <f t="shared" si="55"/>
        <v>192465.22427921207</v>
      </c>
      <c r="BU62" s="184">
        <f t="shared" si="55"/>
        <v>199664.62790069205</v>
      </c>
      <c r="BV62" s="184">
        <f t="shared" ref="BV62:DU62" si="56">SUM(BV59:BV61)</f>
        <v>215130.17492987882</v>
      </c>
      <c r="BW62" s="184">
        <f t="shared" si="56"/>
        <v>203943.65640073462</v>
      </c>
      <c r="BX62" s="184">
        <f t="shared" si="56"/>
        <v>183687.7013916648</v>
      </c>
      <c r="BY62" s="184">
        <f t="shared" si="56"/>
        <v>178100.62205211527</v>
      </c>
      <c r="BZ62" s="184">
        <f t="shared" si="56"/>
        <v>257737.6879271596</v>
      </c>
      <c r="CA62" s="184">
        <f t="shared" si="56"/>
        <v>231210.12475529293</v>
      </c>
      <c r="CB62" s="184">
        <f t="shared" si="56"/>
        <v>189257.80626219255</v>
      </c>
      <c r="CC62" s="184">
        <f t="shared" si="56"/>
        <v>164392.72596478599</v>
      </c>
      <c r="CD62" s="184">
        <f t="shared" si="56"/>
        <v>159994.65582307291</v>
      </c>
      <c r="CE62" s="184">
        <f t="shared" si="56"/>
        <v>184827.40856154411</v>
      </c>
      <c r="CF62" s="184">
        <f t="shared" si="56"/>
        <v>205937.78997875692</v>
      </c>
      <c r="CG62" s="184">
        <f t="shared" si="56"/>
        <v>213641.15185374051</v>
      </c>
      <c r="CH62" s="184">
        <f t="shared" si="56"/>
        <v>230189.28717497041</v>
      </c>
      <c r="CI62" s="184">
        <f t="shared" si="56"/>
        <v>218219.71234878604</v>
      </c>
      <c r="CJ62" s="184">
        <f t="shared" si="56"/>
        <v>196545.84048908137</v>
      </c>
      <c r="CK62" s="184">
        <f t="shared" si="56"/>
        <v>190567.66559576336</v>
      </c>
      <c r="CL62" s="184">
        <f t="shared" si="56"/>
        <v>275779.32608206081</v>
      </c>
      <c r="CM62" s="184">
        <f t="shared" si="56"/>
        <v>247394.83348816345</v>
      </c>
      <c r="CN62" s="184">
        <f t="shared" si="56"/>
        <v>202505.85270054606</v>
      </c>
      <c r="CO62" s="184">
        <f t="shared" si="56"/>
        <v>175900.21678232105</v>
      </c>
      <c r="CP62" s="184">
        <f t="shared" si="56"/>
        <v>171194.28173068806</v>
      </c>
      <c r="CQ62" s="184">
        <f t="shared" si="56"/>
        <v>197765.32716085218</v>
      </c>
      <c r="CR62" s="184">
        <f t="shared" si="56"/>
        <v>220353.43527726989</v>
      </c>
      <c r="CS62" s="184">
        <f t="shared" si="56"/>
        <v>228596.03248350232</v>
      </c>
      <c r="CT62" s="184">
        <f t="shared" si="56"/>
        <v>246302.5372772183</v>
      </c>
      <c r="CU62" s="184">
        <f t="shared" si="56"/>
        <v>233495.09221320105</v>
      </c>
      <c r="CV62" s="184">
        <f t="shared" si="56"/>
        <v>210304.04932331707</v>
      </c>
      <c r="CW62" s="184">
        <f t="shared" si="56"/>
        <v>203907.4021874668</v>
      </c>
      <c r="CX62" s="184">
        <f t="shared" si="56"/>
        <v>295083.87890780513</v>
      </c>
      <c r="CY62" s="184">
        <f t="shared" si="56"/>
        <v>264712.47183233488</v>
      </c>
      <c r="CZ62" s="184">
        <f t="shared" si="56"/>
        <v>216681.26238958427</v>
      </c>
      <c r="DA62" s="184">
        <f t="shared" si="56"/>
        <v>188213.23195708351</v>
      </c>
      <c r="DB62" s="184">
        <f t="shared" si="56"/>
        <v>183177.88145183618</v>
      </c>
      <c r="DC62" s="184">
        <f t="shared" si="56"/>
        <v>211608.90006211188</v>
      </c>
      <c r="DD62" s="184">
        <f t="shared" si="56"/>
        <v>235778.17574667881</v>
      </c>
      <c r="DE62" s="184">
        <f t="shared" si="56"/>
        <v>244597.75475734749</v>
      </c>
      <c r="DF62" s="184">
        <f t="shared" si="56"/>
        <v>263543.71488662355</v>
      </c>
      <c r="DG62" s="184">
        <f t="shared" si="56"/>
        <v>249839.74866812513</v>
      </c>
      <c r="DH62" s="184">
        <f t="shared" si="56"/>
        <v>225025.33277594927</v>
      </c>
      <c r="DI62" s="184">
        <f t="shared" si="56"/>
        <v>218180.92034058954</v>
      </c>
      <c r="DJ62" s="184">
        <f t="shared" si="56"/>
        <v>315739.75043135142</v>
      </c>
      <c r="DK62" s="184">
        <f t="shared" si="56"/>
        <v>283242.34486059827</v>
      </c>
      <c r="DL62" s="184">
        <f t="shared" si="56"/>
        <v>231848.95075685516</v>
      </c>
      <c r="DM62" s="184">
        <f t="shared" si="56"/>
        <v>201388.15819407935</v>
      </c>
      <c r="DN62" s="184">
        <f t="shared" si="56"/>
        <v>196000.33315346471</v>
      </c>
      <c r="DO62" s="184">
        <f t="shared" si="56"/>
        <v>226421.52306645972</v>
      </c>
      <c r="DP62" s="184">
        <f t="shared" si="56"/>
        <v>252282.64804894631</v>
      </c>
      <c r="DQ62" s="184">
        <f t="shared" si="56"/>
        <v>261719.59759036184</v>
      </c>
      <c r="DR62" s="184">
        <f t="shared" si="56"/>
        <v>281991.77492868726</v>
      </c>
      <c r="DS62" s="184">
        <f t="shared" si="56"/>
        <v>267328.53107489389</v>
      </c>
      <c r="DT62" s="184">
        <f t="shared" si="56"/>
        <v>240777.1060702657</v>
      </c>
      <c r="DU62" s="184">
        <f t="shared" si="56"/>
        <v>233453.58476443077</v>
      </c>
    </row>
    <row r="63" spans="4:125" x14ac:dyDescent="0.25">
      <c r="F63" s="617"/>
      <c r="G63" s="617"/>
      <c r="H63" s="617"/>
      <c r="I63" s="617"/>
      <c r="J63" s="617"/>
      <c r="K63" s="617"/>
      <c r="L63" s="617"/>
      <c r="M63" s="617"/>
      <c r="N63" s="617"/>
      <c r="O63" s="617"/>
      <c r="P63" s="617"/>
      <c r="Q63" s="617"/>
      <c r="R63" s="617"/>
      <c r="S63" s="617"/>
      <c r="T63" s="617"/>
      <c r="U63" s="617"/>
      <c r="V63" s="617"/>
      <c r="W63" s="617"/>
      <c r="X63" s="617"/>
      <c r="Y63" s="617"/>
      <c r="Z63" s="617"/>
      <c r="AA63" s="617"/>
      <c r="AB63" s="617"/>
      <c r="AC63" s="617"/>
      <c r="AD63" s="617"/>
      <c r="AE63" s="617"/>
      <c r="AF63" s="617"/>
      <c r="AG63" s="617"/>
      <c r="AH63" s="617"/>
      <c r="AI63" s="617"/>
      <c r="AJ63" s="617"/>
      <c r="AK63" s="617"/>
      <c r="AL63" s="617"/>
      <c r="AM63" s="617"/>
      <c r="AN63" s="617"/>
      <c r="AO63" s="617"/>
      <c r="AP63" s="617"/>
      <c r="AQ63" s="617"/>
      <c r="AR63" s="617"/>
      <c r="AS63" s="617"/>
      <c r="AT63" s="617"/>
      <c r="AU63" s="617"/>
      <c r="AV63" s="617"/>
      <c r="AW63" s="617"/>
      <c r="AX63" s="617"/>
      <c r="AY63" s="617"/>
      <c r="AZ63" s="617"/>
      <c r="BA63" s="617"/>
      <c r="BB63" s="617"/>
      <c r="BC63" s="617"/>
      <c r="BD63" s="617"/>
      <c r="BE63" s="617"/>
      <c r="BF63" s="617"/>
      <c r="BG63" s="617"/>
      <c r="BH63" s="617"/>
      <c r="BI63" s="617"/>
      <c r="BJ63" s="617"/>
      <c r="BK63" s="617"/>
      <c r="BL63" s="617"/>
      <c r="BM63" s="617"/>
      <c r="BN63" s="617"/>
      <c r="BO63" s="617"/>
      <c r="BP63" s="617"/>
      <c r="BQ63" s="617"/>
      <c r="BR63" s="617"/>
      <c r="BS63" s="617"/>
      <c r="BT63" s="617"/>
      <c r="BU63" s="617"/>
      <c r="BV63" s="617"/>
      <c r="BW63" s="617"/>
      <c r="BX63" s="617"/>
      <c r="BY63" s="617"/>
      <c r="BZ63" s="617"/>
      <c r="CA63" s="617"/>
      <c r="CB63" s="617"/>
      <c r="CC63" s="617"/>
      <c r="CD63" s="617"/>
      <c r="CE63" s="617"/>
      <c r="CF63" s="617"/>
      <c r="CG63" s="617"/>
      <c r="CH63" s="617"/>
      <c r="CI63" s="617"/>
      <c r="CJ63" s="617"/>
      <c r="CK63" s="617"/>
      <c r="CL63" s="617"/>
      <c r="CM63" s="617"/>
      <c r="CN63" s="617"/>
      <c r="CO63" s="617"/>
      <c r="CP63" s="617"/>
      <c r="CQ63" s="617"/>
      <c r="CR63" s="617"/>
      <c r="CS63" s="617"/>
      <c r="CT63" s="617"/>
      <c r="CU63" s="617"/>
      <c r="CV63" s="617"/>
      <c r="CW63" s="617"/>
      <c r="CX63" s="617"/>
      <c r="CY63" s="617"/>
      <c r="CZ63" s="617"/>
      <c r="DA63" s="617"/>
      <c r="DB63" s="617"/>
      <c r="DC63" s="617"/>
      <c r="DD63" s="617"/>
      <c r="DE63" s="617"/>
      <c r="DF63" s="617"/>
      <c r="DG63" s="617"/>
      <c r="DH63" s="617"/>
      <c r="DI63" s="617"/>
      <c r="DJ63" s="617"/>
      <c r="DK63" s="617"/>
      <c r="DL63" s="617"/>
      <c r="DM63" s="617"/>
      <c r="DN63" s="617"/>
      <c r="DO63" s="617"/>
      <c r="DP63" s="617"/>
      <c r="DQ63" s="617"/>
      <c r="DR63" s="617"/>
      <c r="DS63" s="617"/>
      <c r="DT63" s="617"/>
      <c r="DU63" s="617"/>
    </row>
    <row r="64" spans="4:125" x14ac:dyDescent="0.25">
      <c r="F64" s="617"/>
      <c r="G64" s="617"/>
      <c r="H64" s="617"/>
      <c r="I64" s="617"/>
      <c r="J64" s="617"/>
      <c r="K64" s="617"/>
      <c r="L64" s="617"/>
      <c r="M64" s="617"/>
      <c r="N64" s="617"/>
      <c r="O64" s="617"/>
      <c r="P64" s="618"/>
      <c r="Q64" s="617"/>
      <c r="R64" s="617"/>
      <c r="S64" s="617"/>
      <c r="T64" s="617"/>
      <c r="U64" s="617"/>
      <c r="V64" s="617"/>
      <c r="W64" s="617"/>
      <c r="X64" s="617"/>
      <c r="Y64" s="617"/>
      <c r="Z64" s="617"/>
      <c r="AA64" s="617"/>
      <c r="AB64" s="617"/>
      <c r="AC64" s="617"/>
      <c r="AD64" s="617"/>
      <c r="AE64" s="617"/>
      <c r="AF64" s="617"/>
      <c r="AG64" s="617"/>
      <c r="AH64" s="617"/>
      <c r="AI64" s="617"/>
      <c r="AJ64" s="617"/>
      <c r="AK64" s="617"/>
      <c r="AL64" s="617"/>
      <c r="AM64" s="617"/>
      <c r="AN64" s="617"/>
      <c r="AO64" s="617"/>
      <c r="AP64" s="617"/>
      <c r="AQ64" s="617"/>
      <c r="AR64" s="617"/>
      <c r="AS64" s="617"/>
      <c r="AT64" s="617"/>
      <c r="AU64" s="617"/>
      <c r="AV64" s="617"/>
      <c r="AW64" s="617"/>
      <c r="AX64" s="617"/>
      <c r="AY64" s="617"/>
      <c r="AZ64" s="617"/>
      <c r="BA64" s="617"/>
      <c r="BB64" s="617"/>
      <c r="BC64" s="617"/>
      <c r="BD64" s="617"/>
      <c r="BE64" s="617"/>
      <c r="BF64" s="617"/>
      <c r="BG64" s="617"/>
      <c r="BH64" s="617"/>
      <c r="BI64" s="617"/>
      <c r="BJ64" s="617"/>
      <c r="BK64" s="617"/>
      <c r="BL64" s="617"/>
      <c r="BM64" s="617"/>
      <c r="BN64" s="617"/>
      <c r="BO64" s="617"/>
      <c r="BP64" s="617"/>
      <c r="BQ64" s="617"/>
      <c r="BR64" s="617"/>
      <c r="BS64" s="617"/>
      <c r="BT64" s="617"/>
      <c r="BU64" s="617"/>
      <c r="BV64" s="617"/>
      <c r="BW64" s="617"/>
      <c r="BX64" s="617"/>
      <c r="BY64" s="617"/>
      <c r="BZ64" s="617"/>
      <c r="CA64" s="617"/>
      <c r="CB64" s="617"/>
      <c r="CC64" s="617"/>
      <c r="CD64" s="617"/>
      <c r="CE64" s="617"/>
      <c r="CF64" s="617"/>
      <c r="CG64" s="617"/>
      <c r="CH64" s="617"/>
      <c r="CI64" s="617"/>
      <c r="CJ64" s="617"/>
      <c r="CK64" s="617"/>
      <c r="CL64" s="617"/>
      <c r="CM64" s="617"/>
      <c r="CN64" s="617"/>
      <c r="CO64" s="617"/>
      <c r="CP64" s="617"/>
      <c r="CQ64" s="617"/>
      <c r="CR64" s="617"/>
      <c r="CS64" s="617"/>
      <c r="CT64" s="617"/>
      <c r="CU64" s="617"/>
      <c r="CV64" s="617"/>
      <c r="CW64" s="617"/>
      <c r="CX64" s="617"/>
      <c r="CY64" s="617"/>
      <c r="CZ64" s="617"/>
      <c r="DA64" s="617"/>
      <c r="DB64" s="617"/>
      <c r="DC64" s="617"/>
      <c r="DD64" s="617"/>
      <c r="DE64" s="617"/>
      <c r="DF64" s="617"/>
      <c r="DG64" s="617"/>
      <c r="DH64" s="617"/>
      <c r="DI64" s="617"/>
      <c r="DJ64" s="617"/>
      <c r="DK64" s="617"/>
      <c r="DL64" s="617"/>
      <c r="DM64" s="617"/>
      <c r="DN64" s="617"/>
      <c r="DO64" s="617"/>
      <c r="DP64" s="617"/>
      <c r="DQ64" s="617"/>
      <c r="DR64" s="617"/>
      <c r="DS64" s="617"/>
      <c r="DT64" s="617"/>
      <c r="DU64" s="617"/>
    </row>
    <row r="65" spans="4:125" x14ac:dyDescent="0.25">
      <c r="D65" s="779" t="s">
        <v>109</v>
      </c>
      <c r="E65" s="779"/>
      <c r="F65" s="181" t="s">
        <v>2</v>
      </c>
      <c r="G65" s="182" t="s">
        <v>14</v>
      </c>
      <c r="H65" s="181" t="s">
        <v>15</v>
      </c>
      <c r="I65" s="182" t="s">
        <v>16</v>
      </c>
      <c r="J65" s="181" t="s">
        <v>17</v>
      </c>
      <c r="K65" s="182" t="s">
        <v>18</v>
      </c>
      <c r="L65" s="181" t="s">
        <v>19</v>
      </c>
      <c r="M65" s="182" t="s">
        <v>20</v>
      </c>
      <c r="N65" s="181" t="s">
        <v>21</v>
      </c>
      <c r="O65" s="183" t="s">
        <v>22</v>
      </c>
      <c r="P65" s="231"/>
      <c r="Q65" s="617"/>
      <c r="R65" s="617"/>
      <c r="S65" s="617"/>
      <c r="T65" s="617"/>
      <c r="U65" s="617"/>
      <c r="V65" s="617"/>
      <c r="W65" s="617"/>
      <c r="X65" s="617"/>
      <c r="Y65" s="617"/>
      <c r="Z65" s="617"/>
      <c r="AA65" s="617"/>
      <c r="AB65" s="617"/>
      <c r="AC65" s="617"/>
      <c r="AD65" s="617"/>
      <c r="AE65" s="617"/>
      <c r="AF65" s="617"/>
      <c r="AG65" s="617"/>
      <c r="AH65" s="617"/>
      <c r="AI65" s="617"/>
      <c r="AJ65" s="617"/>
      <c r="AK65" s="617"/>
      <c r="AL65" s="617"/>
      <c r="AM65" s="617"/>
      <c r="AN65" s="617"/>
      <c r="AO65" s="617"/>
      <c r="AP65" s="617"/>
      <c r="AQ65" s="617"/>
      <c r="AR65" s="617"/>
      <c r="AS65" s="617"/>
      <c r="AT65" s="617"/>
      <c r="AU65" s="617"/>
      <c r="AV65" s="617"/>
      <c r="AW65" s="617"/>
      <c r="AX65" s="617"/>
      <c r="AY65" s="617"/>
      <c r="AZ65" s="617"/>
      <c r="BA65" s="617"/>
      <c r="BB65" s="617"/>
      <c r="BC65" s="617"/>
      <c r="BD65" s="617"/>
      <c r="BE65" s="617"/>
      <c r="BF65" s="617"/>
      <c r="BG65" s="617"/>
      <c r="BH65" s="617"/>
      <c r="BI65" s="617"/>
      <c r="BJ65" s="617"/>
      <c r="BK65" s="617"/>
      <c r="BL65" s="617"/>
      <c r="BM65" s="617"/>
      <c r="BN65" s="617"/>
      <c r="BO65" s="617"/>
      <c r="BP65" s="617"/>
      <c r="BQ65" s="617"/>
      <c r="BR65" s="617"/>
      <c r="BS65" s="617"/>
      <c r="BT65" s="617"/>
      <c r="BU65" s="617"/>
      <c r="BV65" s="617"/>
      <c r="BW65" s="617"/>
      <c r="BX65" s="617"/>
      <c r="BY65" s="617"/>
      <c r="BZ65" s="617"/>
      <c r="CA65" s="617"/>
      <c r="CB65" s="617"/>
      <c r="CC65" s="617"/>
      <c r="CD65" s="617"/>
      <c r="CE65" s="617"/>
      <c r="CF65" s="617"/>
      <c r="CG65" s="617"/>
      <c r="CH65" s="617"/>
      <c r="CI65" s="617"/>
      <c r="CJ65" s="617"/>
      <c r="CK65" s="617"/>
      <c r="CL65" s="617"/>
      <c r="CM65" s="617"/>
      <c r="CN65" s="617"/>
      <c r="CO65" s="617"/>
      <c r="CP65" s="617"/>
      <c r="CQ65" s="617"/>
      <c r="CR65" s="617"/>
      <c r="CS65" s="617"/>
      <c r="CT65" s="617"/>
      <c r="CU65" s="617"/>
      <c r="CV65" s="617"/>
      <c r="CW65" s="617"/>
      <c r="CX65" s="617"/>
      <c r="CY65" s="617"/>
      <c r="CZ65" s="617"/>
      <c r="DA65" s="617"/>
      <c r="DB65" s="617"/>
      <c r="DC65" s="617"/>
      <c r="DD65" s="617"/>
      <c r="DE65" s="617"/>
      <c r="DF65" s="617"/>
      <c r="DG65" s="617"/>
      <c r="DH65" s="617"/>
      <c r="DI65" s="617"/>
      <c r="DJ65" s="617"/>
      <c r="DK65" s="617"/>
      <c r="DL65" s="617"/>
      <c r="DM65" s="617"/>
      <c r="DN65" s="617"/>
      <c r="DO65" s="617"/>
      <c r="DP65" s="617"/>
      <c r="DQ65" s="617"/>
      <c r="DR65" s="617"/>
      <c r="DS65" s="617"/>
      <c r="DT65" s="617"/>
      <c r="DU65" s="617"/>
    </row>
    <row r="66" spans="4:125" x14ac:dyDescent="0.25">
      <c r="D66" s="335" t="s">
        <v>111</v>
      </c>
      <c r="E66" s="395" t="s">
        <v>125</v>
      </c>
      <c r="F66" s="184">
        <f>SUM(F59:Q59)</f>
        <v>898097.04690590769</v>
      </c>
      <c r="G66" s="184">
        <f>SUM(R59:AC59)</f>
        <v>960909.07301659335</v>
      </c>
      <c r="H66" s="184">
        <f>SUM(AD59:AO59)</f>
        <v>1028172.7081277552</v>
      </c>
      <c r="I66" s="184">
        <f>SUM(AP59:BA59)</f>
        <v>1100144.7976966982</v>
      </c>
      <c r="J66" s="184">
        <f>SUM(BB59:BM59)</f>
        <v>1177154.9335354667</v>
      </c>
      <c r="K66" s="184">
        <f>SUM(BN59:BY59)</f>
        <v>1259555.7788829496</v>
      </c>
      <c r="L66" s="184">
        <f>SUM(BZ59:CK59)</f>
        <v>1347724.6834047567</v>
      </c>
      <c r="M66" s="184">
        <f>SUM(CL59:CW59)</f>
        <v>1442065.4112430892</v>
      </c>
      <c r="N66" s="184">
        <f>SUM(CX59:DI59)</f>
        <v>1543009.9900301057</v>
      </c>
      <c r="O66" s="184">
        <f>SUM(DJ59:DU59)</f>
        <v>1651020.6893322133</v>
      </c>
      <c r="P66" s="230"/>
      <c r="Q66" s="617"/>
      <c r="R66" s="617"/>
      <c r="S66" s="617"/>
      <c r="T66" s="617"/>
      <c r="U66" s="617"/>
      <c r="V66" s="617"/>
      <c r="W66" s="617"/>
      <c r="X66" s="617"/>
      <c r="Y66" s="617"/>
      <c r="Z66" s="617"/>
      <c r="AA66" s="617"/>
      <c r="AB66" s="617"/>
      <c r="AC66" s="617"/>
      <c r="AD66" s="617"/>
      <c r="AE66" s="617"/>
      <c r="AF66" s="617"/>
      <c r="AG66" s="617"/>
      <c r="AH66" s="617"/>
      <c r="AI66" s="617"/>
      <c r="AJ66" s="617"/>
      <c r="AK66" s="617"/>
      <c r="AL66" s="617"/>
      <c r="AM66" s="617"/>
      <c r="AN66" s="617"/>
      <c r="AO66" s="617"/>
      <c r="AP66" s="617"/>
      <c r="AQ66" s="617"/>
      <c r="AR66" s="617"/>
      <c r="AS66" s="617"/>
      <c r="AT66" s="617"/>
      <c r="AU66" s="617"/>
      <c r="AV66" s="617"/>
      <c r="AW66" s="617"/>
      <c r="AX66" s="617"/>
      <c r="AY66" s="617"/>
      <c r="AZ66" s="617"/>
      <c r="BA66" s="617"/>
      <c r="BB66" s="617"/>
      <c r="BC66" s="617"/>
      <c r="BD66" s="617"/>
      <c r="BE66" s="617"/>
      <c r="BF66" s="617"/>
      <c r="BG66" s="617"/>
      <c r="BH66" s="617"/>
      <c r="BI66" s="617"/>
      <c r="BJ66" s="617"/>
      <c r="BK66" s="617"/>
      <c r="BL66" s="617"/>
      <c r="BM66" s="617"/>
      <c r="BN66" s="617"/>
      <c r="BO66" s="617"/>
      <c r="BP66" s="617"/>
      <c r="BQ66" s="617"/>
      <c r="BR66" s="617"/>
      <c r="BS66" s="617"/>
      <c r="BT66" s="617"/>
      <c r="BU66" s="617"/>
      <c r="BV66" s="617"/>
      <c r="BW66" s="617"/>
      <c r="BX66" s="617"/>
      <c r="BY66" s="617"/>
      <c r="BZ66" s="617"/>
      <c r="CA66" s="617"/>
      <c r="CB66" s="617"/>
      <c r="CC66" s="617"/>
      <c r="CD66" s="617"/>
      <c r="CE66" s="617"/>
      <c r="CF66" s="617"/>
      <c r="CG66" s="617"/>
      <c r="CH66" s="617"/>
      <c r="CI66" s="617"/>
      <c r="CJ66" s="617"/>
      <c r="CK66" s="617"/>
      <c r="CL66" s="617"/>
      <c r="CM66" s="617"/>
      <c r="CN66" s="617"/>
      <c r="CO66" s="617"/>
      <c r="CP66" s="617"/>
      <c r="CQ66" s="617"/>
      <c r="CR66" s="617"/>
      <c r="CS66" s="617"/>
      <c r="CT66" s="617"/>
      <c r="CU66" s="617"/>
      <c r="CV66" s="617"/>
      <c r="CW66" s="617"/>
      <c r="CX66" s="617"/>
      <c r="CY66" s="617"/>
      <c r="CZ66" s="617"/>
      <c r="DA66" s="617"/>
      <c r="DB66" s="617"/>
      <c r="DC66" s="617"/>
      <c r="DD66" s="617"/>
      <c r="DE66" s="617"/>
      <c r="DF66" s="617"/>
      <c r="DG66" s="617"/>
      <c r="DH66" s="617"/>
      <c r="DI66" s="617"/>
      <c r="DJ66" s="617"/>
      <c r="DK66" s="617"/>
      <c r="DL66" s="617"/>
      <c r="DM66" s="617"/>
      <c r="DN66" s="617"/>
      <c r="DO66" s="617"/>
      <c r="DP66" s="617"/>
      <c r="DQ66" s="617"/>
      <c r="DR66" s="617"/>
      <c r="DS66" s="617"/>
      <c r="DT66" s="617"/>
      <c r="DU66" s="617"/>
    </row>
    <row r="67" spans="4:125" x14ac:dyDescent="0.25">
      <c r="D67" s="335" t="s">
        <v>112</v>
      </c>
      <c r="E67" s="395" t="s">
        <v>126</v>
      </c>
      <c r="F67" s="184">
        <f>SUM(F60:Q60)</f>
        <v>464365.39851780614</v>
      </c>
      <c r="G67" s="184">
        <f>SUM(R60:AC60)</f>
        <v>496842.65878392884</v>
      </c>
      <c r="H67" s="184">
        <f>SUM(AD60:AO60)</f>
        <v>531621.6448988039</v>
      </c>
      <c r="I67" s="184">
        <f>SUM(AP60:BA60)</f>
        <v>568835.16004172014</v>
      </c>
      <c r="J67" s="184">
        <f>SUM(BB60:BM60)</f>
        <v>608653.62124464056</v>
      </c>
      <c r="K67" s="184">
        <f>SUM(BN60:BY60)</f>
        <v>651259.37473176548</v>
      </c>
      <c r="L67" s="184">
        <f>SUM(BZ60:CK60)</f>
        <v>696847.53096298932</v>
      </c>
      <c r="M67" s="184">
        <f>SUM(CL60:CW60)</f>
        <v>745626.85813039844</v>
      </c>
      <c r="N67" s="184">
        <f>SUM(CX60:DI60)</f>
        <v>797820.73819952644</v>
      </c>
      <c r="O67" s="184">
        <f>SUM(DJ60:DU60)</f>
        <v>853668.18987349328</v>
      </c>
      <c r="P67" s="230"/>
      <c r="Q67" s="617"/>
      <c r="R67" s="617"/>
      <c r="S67" s="617"/>
      <c r="T67" s="617"/>
      <c r="U67" s="617"/>
      <c r="V67" s="617"/>
      <c r="W67" s="617"/>
      <c r="X67" s="617"/>
      <c r="Y67" s="617"/>
      <c r="Z67" s="617"/>
      <c r="AA67" s="617"/>
      <c r="AB67" s="617"/>
      <c r="AC67" s="617"/>
      <c r="AD67" s="617"/>
      <c r="AE67" s="617"/>
      <c r="AF67" s="617"/>
      <c r="AG67" s="617"/>
      <c r="AH67" s="617"/>
      <c r="AI67" s="617"/>
      <c r="AJ67" s="617"/>
      <c r="AK67" s="617"/>
      <c r="AL67" s="617"/>
      <c r="AM67" s="617"/>
      <c r="AN67" s="617"/>
      <c r="AO67" s="617"/>
      <c r="AP67" s="617"/>
      <c r="AQ67" s="617"/>
      <c r="AR67" s="617"/>
      <c r="AS67" s="617"/>
      <c r="AT67" s="617"/>
      <c r="AU67" s="617"/>
      <c r="AV67" s="617"/>
      <c r="AW67" s="617"/>
      <c r="AX67" s="617"/>
      <c r="AY67" s="617"/>
      <c r="AZ67" s="617"/>
      <c r="BA67" s="617"/>
      <c r="BB67" s="617"/>
      <c r="BC67" s="617"/>
      <c r="BD67" s="617"/>
      <c r="BE67" s="617"/>
      <c r="BF67" s="617"/>
      <c r="BG67" s="617"/>
      <c r="BH67" s="617"/>
      <c r="BI67" s="617"/>
      <c r="BJ67" s="617"/>
      <c r="BK67" s="617"/>
      <c r="BL67" s="617"/>
      <c r="BM67" s="617"/>
      <c r="BN67" s="617"/>
      <c r="BO67" s="617"/>
      <c r="BP67" s="617"/>
      <c r="BQ67" s="617"/>
      <c r="BR67" s="617"/>
      <c r="BS67" s="617"/>
      <c r="BT67" s="617"/>
      <c r="BU67" s="617"/>
      <c r="BV67" s="617"/>
      <c r="BW67" s="617"/>
      <c r="BX67" s="617"/>
      <c r="BY67" s="617"/>
      <c r="BZ67" s="617"/>
      <c r="CA67" s="617"/>
      <c r="CB67" s="617"/>
      <c r="CC67" s="617"/>
      <c r="CD67" s="617"/>
      <c r="CE67" s="617"/>
      <c r="CF67" s="617"/>
      <c r="CG67" s="617"/>
      <c r="CH67" s="617"/>
      <c r="CI67" s="617"/>
      <c r="CJ67" s="617"/>
      <c r="CK67" s="617"/>
      <c r="CL67" s="617"/>
      <c r="CM67" s="617"/>
      <c r="CN67" s="617"/>
      <c r="CO67" s="617"/>
      <c r="CP67" s="617"/>
      <c r="CQ67" s="617"/>
      <c r="CR67" s="617"/>
      <c r="CS67" s="617"/>
      <c r="CT67" s="617"/>
      <c r="CU67" s="617"/>
      <c r="CV67" s="617"/>
      <c r="CW67" s="617"/>
      <c r="CX67" s="617"/>
      <c r="CY67" s="617"/>
      <c r="CZ67" s="617"/>
      <c r="DA67" s="617"/>
      <c r="DB67" s="617"/>
      <c r="DC67" s="617"/>
      <c r="DD67" s="617"/>
      <c r="DE67" s="617"/>
      <c r="DF67" s="617"/>
      <c r="DG67" s="617"/>
      <c r="DH67" s="617"/>
      <c r="DI67" s="617"/>
      <c r="DJ67" s="617"/>
      <c r="DK67" s="617"/>
      <c r="DL67" s="617"/>
      <c r="DM67" s="617"/>
      <c r="DN67" s="617"/>
      <c r="DO67" s="617"/>
      <c r="DP67" s="617"/>
      <c r="DQ67" s="617"/>
      <c r="DR67" s="617"/>
      <c r="DS67" s="617"/>
      <c r="DT67" s="617"/>
      <c r="DU67" s="617"/>
    </row>
    <row r="68" spans="4:125" x14ac:dyDescent="0.25">
      <c r="D68" s="616" t="s">
        <v>128</v>
      </c>
      <c r="E68" s="395" t="s">
        <v>125</v>
      </c>
      <c r="F68" s="184">
        <f>SUM(F61:Q61)</f>
        <v>199519.08063463896</v>
      </c>
      <c r="G68" s="184">
        <f>SUM(R61:AC61)</f>
        <v>288783.67476766265</v>
      </c>
      <c r="H68" s="184">
        <f>SUM(AD61:AO61)</f>
        <v>303593.87679811509</v>
      </c>
      <c r="I68" s="184">
        <f>SUM(AP61:BA61)</f>
        <v>324845.44817398314</v>
      </c>
      <c r="J68" s="184">
        <f>SUM(BB61:BM61)</f>
        <v>347584.62954616203</v>
      </c>
      <c r="K68" s="184">
        <f>SUM(BN61:BY61)</f>
        <v>371915.5536143934</v>
      </c>
      <c r="L68" s="184">
        <f>SUM(BZ61:CK61)</f>
        <v>397949.64236740099</v>
      </c>
      <c r="M68" s="184">
        <f>SUM(CL61:CW61)</f>
        <v>425806.11733311909</v>
      </c>
      <c r="N68" s="184">
        <f>SUM(CX61:DI61)</f>
        <v>455612.54554643738</v>
      </c>
      <c r="O68" s="184">
        <f>SUM(DJ61:DU61)</f>
        <v>487505.42373468803</v>
      </c>
      <c r="P68" s="230"/>
      <c r="Q68" s="617"/>
      <c r="R68" s="617"/>
      <c r="S68" s="617"/>
      <c r="T68" s="617"/>
      <c r="U68" s="617"/>
      <c r="V68" s="617"/>
      <c r="W68" s="617"/>
      <c r="X68" s="617"/>
      <c r="Y68" s="617"/>
      <c r="Z68" s="617"/>
      <c r="AA68" s="617"/>
      <c r="AB68" s="617"/>
      <c r="AC68" s="617"/>
      <c r="AD68" s="617"/>
      <c r="AE68" s="617"/>
      <c r="AF68" s="617"/>
      <c r="AG68" s="617"/>
      <c r="AH68" s="617"/>
      <c r="AI68" s="617"/>
      <c r="AJ68" s="617"/>
      <c r="AK68" s="617"/>
      <c r="AL68" s="617"/>
      <c r="AM68" s="617"/>
      <c r="AN68" s="617"/>
      <c r="AO68" s="617"/>
      <c r="AP68" s="617"/>
      <c r="AQ68" s="617"/>
      <c r="AR68" s="617"/>
      <c r="AS68" s="617"/>
      <c r="AT68" s="617"/>
      <c r="AU68" s="617"/>
      <c r="AV68" s="617"/>
      <c r="AW68" s="617"/>
      <c r="AX68" s="617"/>
      <c r="AY68" s="617"/>
      <c r="AZ68" s="617"/>
      <c r="BA68" s="617"/>
      <c r="BB68" s="617"/>
      <c r="BC68" s="617"/>
      <c r="BD68" s="617"/>
      <c r="BE68" s="617"/>
      <c r="BF68" s="617"/>
      <c r="BG68" s="617"/>
      <c r="BH68" s="617"/>
      <c r="BI68" s="617"/>
      <c r="BJ68" s="617"/>
      <c r="BK68" s="617"/>
      <c r="BL68" s="617"/>
      <c r="BM68" s="617"/>
      <c r="BN68" s="617"/>
      <c r="BO68" s="617"/>
      <c r="BP68" s="617"/>
      <c r="BQ68" s="617"/>
      <c r="BR68" s="617"/>
      <c r="BS68" s="617"/>
      <c r="BT68" s="617"/>
      <c r="BU68" s="617"/>
      <c r="BV68" s="617"/>
      <c r="BW68" s="617"/>
      <c r="BX68" s="617"/>
      <c r="BY68" s="617"/>
      <c r="BZ68" s="617"/>
      <c r="CA68" s="617"/>
      <c r="CB68" s="617"/>
      <c r="CC68" s="617"/>
      <c r="CD68" s="617"/>
      <c r="CE68" s="617"/>
      <c r="CF68" s="617"/>
      <c r="CG68" s="617"/>
      <c r="CH68" s="617"/>
      <c r="CI68" s="617"/>
      <c r="CJ68" s="617"/>
      <c r="CK68" s="617"/>
      <c r="CL68" s="617"/>
      <c r="CM68" s="617"/>
      <c r="CN68" s="617"/>
      <c r="CO68" s="617"/>
      <c r="CP68" s="617"/>
      <c r="CQ68" s="617"/>
      <c r="CR68" s="617"/>
      <c r="CS68" s="617"/>
      <c r="CT68" s="617"/>
      <c r="CU68" s="617"/>
      <c r="CV68" s="617"/>
      <c r="CW68" s="617"/>
      <c r="CX68" s="617"/>
      <c r="CY68" s="617"/>
      <c r="CZ68" s="617"/>
      <c r="DA68" s="617"/>
      <c r="DB68" s="617"/>
      <c r="DC68" s="617"/>
      <c r="DD68" s="617"/>
      <c r="DE68" s="617"/>
      <c r="DF68" s="617"/>
      <c r="DG68" s="617"/>
      <c r="DH68" s="617"/>
      <c r="DI68" s="617"/>
      <c r="DJ68" s="617"/>
      <c r="DK68" s="617"/>
      <c r="DL68" s="617"/>
      <c r="DM68" s="617"/>
      <c r="DN68" s="617"/>
      <c r="DO68" s="617"/>
      <c r="DP68" s="617"/>
      <c r="DQ68" s="617"/>
      <c r="DR68" s="617"/>
      <c r="DS68" s="617"/>
      <c r="DT68" s="617"/>
      <c r="DU68" s="617"/>
    </row>
    <row r="69" spans="4:125" x14ac:dyDescent="0.25">
      <c r="D69" s="775" t="s">
        <v>114</v>
      </c>
      <c r="E69" s="775"/>
      <c r="F69" s="168">
        <f>SUM(F62:Q62)</f>
        <v>1561981.5260583528</v>
      </c>
      <c r="G69" s="168">
        <f>SUM(G66:G68)</f>
        <v>1746535.406568185</v>
      </c>
      <c r="H69" s="168">
        <f>SUM(H66:H68)</f>
        <v>1863388.2298246743</v>
      </c>
      <c r="I69" s="168">
        <f t="shared" ref="I69:O69" si="57">SUM(I66:I68)</f>
        <v>1993825.4059124016</v>
      </c>
      <c r="J69" s="168">
        <f t="shared" si="57"/>
        <v>2133393.1843262692</v>
      </c>
      <c r="K69" s="168">
        <f t="shared" si="57"/>
        <v>2282730.7072291085</v>
      </c>
      <c r="L69" s="168">
        <f t="shared" si="57"/>
        <v>2442521.8567351471</v>
      </c>
      <c r="M69" s="168">
        <f t="shared" si="57"/>
        <v>2613498.386706607</v>
      </c>
      <c r="N69" s="168">
        <f t="shared" si="57"/>
        <v>2796443.2737760693</v>
      </c>
      <c r="O69" s="168">
        <f t="shared" si="57"/>
        <v>2992194.3029403947</v>
      </c>
      <c r="P69" s="192"/>
      <c r="Q69" s="617"/>
      <c r="R69" s="617"/>
      <c r="S69" s="617"/>
      <c r="T69" s="617"/>
      <c r="U69" s="617"/>
      <c r="V69" s="617"/>
      <c r="W69" s="617"/>
      <c r="X69" s="617"/>
      <c r="Y69" s="617"/>
      <c r="Z69" s="617"/>
      <c r="AA69" s="617"/>
      <c r="AB69" s="617"/>
      <c r="AC69" s="617"/>
      <c r="AD69" s="617"/>
      <c r="AE69" s="617"/>
      <c r="AF69" s="617"/>
      <c r="AG69" s="617"/>
      <c r="AH69" s="617"/>
      <c r="AI69" s="617"/>
      <c r="AJ69" s="617"/>
      <c r="AK69" s="617"/>
      <c r="AL69" s="617"/>
      <c r="AM69" s="617"/>
      <c r="AN69" s="617"/>
      <c r="AO69" s="617"/>
      <c r="AP69" s="617"/>
      <c r="AQ69" s="617"/>
      <c r="AR69" s="617"/>
      <c r="AS69" s="617"/>
      <c r="AT69" s="617"/>
      <c r="AU69" s="617"/>
      <c r="AV69" s="617"/>
      <c r="AW69" s="617"/>
      <c r="AX69" s="617"/>
      <c r="AY69" s="617"/>
      <c r="AZ69" s="617"/>
      <c r="BA69" s="617"/>
      <c r="BB69" s="617"/>
      <c r="BC69" s="617"/>
      <c r="BD69" s="617"/>
      <c r="BE69" s="617"/>
      <c r="BF69" s="617"/>
      <c r="BG69" s="617"/>
      <c r="BH69" s="617"/>
      <c r="BI69" s="617"/>
      <c r="BJ69" s="617"/>
      <c r="BK69" s="617"/>
      <c r="BL69" s="617"/>
      <c r="BM69" s="617"/>
      <c r="BN69" s="617"/>
      <c r="BO69" s="617"/>
      <c r="BP69" s="617"/>
      <c r="BQ69" s="617"/>
      <c r="BR69" s="617"/>
      <c r="BS69" s="617"/>
      <c r="BT69" s="617"/>
      <c r="BU69" s="617"/>
      <c r="BV69" s="617"/>
      <c r="BW69" s="617"/>
      <c r="BX69" s="617"/>
      <c r="BY69" s="617"/>
      <c r="BZ69" s="617"/>
      <c r="CA69" s="617"/>
      <c r="CB69" s="617"/>
      <c r="CC69" s="617"/>
      <c r="CD69" s="617"/>
      <c r="CE69" s="617"/>
      <c r="CF69" s="617"/>
      <c r="CG69" s="617"/>
      <c r="CH69" s="617"/>
      <c r="CI69" s="617"/>
      <c r="CJ69" s="617"/>
      <c r="CK69" s="617"/>
      <c r="CL69" s="617"/>
      <c r="CM69" s="617"/>
      <c r="CN69" s="617"/>
      <c r="CO69" s="617"/>
      <c r="CP69" s="617"/>
      <c r="CQ69" s="617"/>
      <c r="CR69" s="617"/>
      <c r="CS69" s="617"/>
      <c r="CT69" s="617"/>
      <c r="CU69" s="617"/>
      <c r="CV69" s="617"/>
      <c r="CW69" s="617"/>
      <c r="CX69" s="617"/>
      <c r="CY69" s="617"/>
      <c r="CZ69" s="617"/>
      <c r="DA69" s="617"/>
      <c r="DB69" s="617"/>
      <c r="DC69" s="617"/>
      <c r="DD69" s="617"/>
      <c r="DE69" s="617"/>
      <c r="DF69" s="617"/>
      <c r="DG69" s="617"/>
      <c r="DH69" s="617"/>
      <c r="DI69" s="617"/>
      <c r="DJ69" s="617"/>
      <c r="DK69" s="617"/>
      <c r="DL69" s="617"/>
      <c r="DM69" s="617"/>
      <c r="DN69" s="617"/>
      <c r="DO69" s="617"/>
      <c r="DP69" s="617"/>
      <c r="DQ69" s="617"/>
      <c r="DR69" s="617"/>
      <c r="DS69" s="617"/>
      <c r="DT69" s="617"/>
      <c r="DU69" s="617"/>
    </row>
    <row r="70" spans="4:125" x14ac:dyDescent="0.25">
      <c r="F70" s="617"/>
      <c r="G70" s="617"/>
      <c r="H70" s="617"/>
      <c r="I70" s="617"/>
      <c r="J70" s="617"/>
      <c r="K70" s="617"/>
      <c r="L70" s="617"/>
      <c r="M70" s="617"/>
      <c r="N70" s="617"/>
      <c r="O70" s="617"/>
      <c r="P70" s="618"/>
      <c r="Q70" s="617"/>
      <c r="R70" s="617"/>
      <c r="S70" s="617"/>
      <c r="T70" s="617"/>
      <c r="U70" s="617"/>
      <c r="V70" s="617"/>
      <c r="W70" s="617"/>
      <c r="X70" s="617"/>
      <c r="Y70" s="617"/>
      <c r="Z70" s="617"/>
      <c r="AA70" s="617"/>
      <c r="AB70" s="617"/>
      <c r="AC70" s="617"/>
      <c r="AD70" s="617"/>
      <c r="AE70" s="617"/>
      <c r="AF70" s="617"/>
      <c r="AG70" s="617"/>
      <c r="AH70" s="617"/>
      <c r="AI70" s="617"/>
      <c r="AJ70" s="617"/>
      <c r="AK70" s="617"/>
      <c r="AL70" s="617"/>
      <c r="AM70" s="617"/>
      <c r="AN70" s="617"/>
      <c r="AO70" s="617"/>
      <c r="AP70" s="617"/>
      <c r="AQ70" s="617"/>
      <c r="AR70" s="617"/>
      <c r="AS70" s="617"/>
      <c r="AT70" s="617"/>
      <c r="AU70" s="617"/>
      <c r="AV70" s="617"/>
      <c r="AW70" s="617"/>
      <c r="AX70" s="617"/>
      <c r="AY70" s="617"/>
      <c r="AZ70" s="617"/>
      <c r="BA70" s="617"/>
      <c r="BB70" s="617"/>
      <c r="BC70" s="617"/>
      <c r="BD70" s="617"/>
      <c r="BE70" s="617"/>
      <c r="BF70" s="617"/>
      <c r="BG70" s="617"/>
      <c r="BH70" s="617"/>
      <c r="BI70" s="617"/>
      <c r="BJ70" s="617"/>
      <c r="BK70" s="617"/>
      <c r="BL70" s="617"/>
      <c r="BM70" s="617"/>
      <c r="BN70" s="617"/>
      <c r="BO70" s="617"/>
      <c r="BP70" s="617"/>
      <c r="BQ70" s="617"/>
      <c r="BR70" s="617"/>
      <c r="BS70" s="617"/>
      <c r="BT70" s="617"/>
      <c r="BU70" s="617"/>
      <c r="BV70" s="617"/>
      <c r="BW70" s="617"/>
      <c r="BX70" s="617"/>
      <c r="BY70" s="617"/>
      <c r="BZ70" s="617"/>
      <c r="CA70" s="617"/>
      <c r="CB70" s="617"/>
      <c r="CC70" s="617"/>
      <c r="CD70" s="617"/>
      <c r="CE70" s="617"/>
      <c r="CF70" s="617"/>
      <c r="CG70" s="617"/>
      <c r="CH70" s="617"/>
      <c r="CI70" s="617"/>
      <c r="CJ70" s="617"/>
      <c r="CK70" s="617"/>
      <c r="CL70" s="617"/>
      <c r="CM70" s="617"/>
      <c r="CN70" s="617"/>
      <c r="CO70" s="617"/>
      <c r="CP70" s="617"/>
      <c r="CQ70" s="617"/>
      <c r="CR70" s="617"/>
      <c r="CS70" s="617"/>
      <c r="CT70" s="617"/>
      <c r="CU70" s="617"/>
      <c r="CV70" s="617"/>
      <c r="CW70" s="617"/>
      <c r="CX70" s="617"/>
      <c r="CY70" s="617"/>
      <c r="CZ70" s="617"/>
      <c r="DA70" s="617"/>
      <c r="DB70" s="617"/>
      <c r="DC70" s="617"/>
      <c r="DD70" s="617"/>
      <c r="DE70" s="617"/>
      <c r="DF70" s="617"/>
      <c r="DG70" s="617"/>
      <c r="DH70" s="617"/>
      <c r="DI70" s="617"/>
      <c r="DJ70" s="617"/>
      <c r="DK70" s="617"/>
      <c r="DL70" s="617"/>
      <c r="DM70" s="617"/>
      <c r="DN70" s="617"/>
      <c r="DO70" s="617"/>
      <c r="DP70" s="617"/>
      <c r="DQ70" s="617"/>
      <c r="DR70" s="617"/>
      <c r="DS70" s="617"/>
      <c r="DT70" s="617"/>
      <c r="DU70" s="617"/>
    </row>
    <row r="71" spans="4:125" x14ac:dyDescent="0.25">
      <c r="P71" s="315"/>
    </row>
  </sheetData>
  <scenarios current="3" show="1" sqref="E75:E81">
    <scenario name="Cantidad+10%, Precio-10%" locked="1" count="3" user="LUISA">
      <inputCells r="F51" val="924" numFmtId="3"/>
      <inputCells r="F52" val="1693" numFmtId="3"/>
      <inputCells r="N4" val="1246"/>
    </scenario>
    <scenario name="Precio-10%,Cantidad+10%" locked="1" count="3" user="LUISA">
      <inputCells r="F51" val="1118" numFmtId="3"/>
      <inputCells r="F52" val="2049" numFmtId="3"/>
      <inputCells r="N4" val="1030"/>
    </scenario>
    <scenario name="Precio-12%" locked="1" count="3" user="LUISA">
      <inputCells r="F51" val="907" numFmtId="3"/>
      <inputCells r="F52" val="1663" numFmtId="3"/>
      <inputCells r="N4" val="1133"/>
    </scenario>
    <scenario name="Cantidad-12%" locked="1" count="3" user="LUISA">
      <inputCells r="F51" val="1016.10169491525" numFmtId="3"/>
      <inputCells r="F52" val="1862.71186440678" numFmtId="3"/>
      <inputCells r="N4" val="1012"/>
    </scenario>
  </scenarios>
  <mergeCells count="64">
    <mergeCell ref="CX16:CY16"/>
    <mergeCell ref="C13:C14"/>
    <mergeCell ref="D16:E16"/>
    <mergeCell ref="R16:S16"/>
    <mergeCell ref="AD16:AE16"/>
    <mergeCell ref="AP16:AQ16"/>
    <mergeCell ref="DJ16:DK16"/>
    <mergeCell ref="D20:E20"/>
    <mergeCell ref="D23:E23"/>
    <mergeCell ref="R23:S23"/>
    <mergeCell ref="AD23:AE23"/>
    <mergeCell ref="AP23:AQ23"/>
    <mergeCell ref="BB23:BC23"/>
    <mergeCell ref="BN23:BO23"/>
    <mergeCell ref="BZ23:CA23"/>
    <mergeCell ref="CL23:CM23"/>
    <mergeCell ref="CX23:CY23"/>
    <mergeCell ref="DJ23:DK23"/>
    <mergeCell ref="BB16:BC16"/>
    <mergeCell ref="BN16:BO16"/>
    <mergeCell ref="BZ16:CA16"/>
    <mergeCell ref="CL16:CM16"/>
    <mergeCell ref="D25:E25"/>
    <mergeCell ref="D26:E26"/>
    <mergeCell ref="D27:E27"/>
    <mergeCell ref="D28:E28"/>
    <mergeCell ref="D30:E30"/>
    <mergeCell ref="C33:C34"/>
    <mergeCell ref="C36:D36"/>
    <mergeCell ref="AD30:AE30"/>
    <mergeCell ref="AP30:AQ30"/>
    <mergeCell ref="BB30:BC30"/>
    <mergeCell ref="R30:S30"/>
    <mergeCell ref="D45:E45"/>
    <mergeCell ref="CX30:CY30"/>
    <mergeCell ref="DJ30:DK30"/>
    <mergeCell ref="D32:E32"/>
    <mergeCell ref="BN30:BO30"/>
    <mergeCell ref="BZ30:CA30"/>
    <mergeCell ref="CL30:CM30"/>
    <mergeCell ref="D39:G39"/>
    <mergeCell ref="D41:E41"/>
    <mergeCell ref="D42:E42"/>
    <mergeCell ref="D43:E43"/>
    <mergeCell ref="D44:E44"/>
    <mergeCell ref="D46:E46"/>
    <mergeCell ref="D50:E50"/>
    <mergeCell ref="D51:E51"/>
    <mergeCell ref="D52:E52"/>
    <mergeCell ref="D53:E53"/>
    <mergeCell ref="D69:E69"/>
    <mergeCell ref="CL57:CW57"/>
    <mergeCell ref="CX57:DI57"/>
    <mergeCell ref="DJ57:DU57"/>
    <mergeCell ref="BB57:BM57"/>
    <mergeCell ref="BN57:BY57"/>
    <mergeCell ref="BZ57:CK57"/>
    <mergeCell ref="F57:Q57"/>
    <mergeCell ref="D65:E65"/>
    <mergeCell ref="D58:E58"/>
    <mergeCell ref="D62:E62"/>
    <mergeCell ref="R57:AC57"/>
    <mergeCell ref="AD57:AO57"/>
    <mergeCell ref="AP57:BA57"/>
  </mergeCells>
  <pageMargins left="0.7" right="0.7" top="0.75" bottom="0.75" header="0.3" footer="0.3"/>
  <pageSetup orientation="portrait" horizontalDpi="4294967294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2:DS125"/>
  <sheetViews>
    <sheetView topLeftCell="E39" zoomScale="85" zoomScaleNormal="85" workbookViewId="0">
      <selection activeCell="P60" sqref="P60"/>
    </sheetView>
  </sheetViews>
  <sheetFormatPr baseColWidth="10" defaultColWidth="11" defaultRowHeight="15" x14ac:dyDescent="0.25"/>
  <cols>
    <col min="1" max="2" width="11" style="404"/>
    <col min="3" max="3" width="20" style="404" customWidth="1"/>
    <col min="4" max="4" width="16.5703125" style="404" customWidth="1"/>
    <col min="5" max="6" width="13.28515625" style="404" customWidth="1"/>
    <col min="7" max="7" width="11" style="404"/>
    <col min="8" max="8" width="11.140625" style="404" customWidth="1"/>
    <col min="9" max="9" width="12" style="404" customWidth="1"/>
    <col min="10" max="10" width="11.5703125" style="404" customWidth="1"/>
    <col min="11" max="16384" width="11" style="404"/>
  </cols>
  <sheetData>
    <row r="2" spans="3:123" x14ac:dyDescent="0.25">
      <c r="C2" s="527" t="s">
        <v>149</v>
      </c>
      <c r="D2" s="528"/>
      <c r="E2" s="528"/>
      <c r="F2" s="529"/>
      <c r="H2" s="530"/>
    </row>
    <row r="3" spans="3:123" x14ac:dyDescent="0.25">
      <c r="D3" s="530"/>
      <c r="E3" s="530"/>
      <c r="F3" s="530"/>
      <c r="G3" s="530"/>
      <c r="H3" s="530"/>
    </row>
    <row r="4" spans="3:123" x14ac:dyDescent="0.25">
      <c r="D4" s="402" t="s">
        <v>69</v>
      </c>
      <c r="E4" s="402" t="s">
        <v>150</v>
      </c>
      <c r="F4" s="402" t="s">
        <v>151</v>
      </c>
      <c r="G4" s="156" t="s">
        <v>152</v>
      </c>
      <c r="H4" s="530"/>
      <c r="I4" s="530"/>
    </row>
    <row r="5" spans="3:123" ht="25.5" customHeight="1" x14ac:dyDescent="0.25">
      <c r="D5" s="155" t="s">
        <v>539</v>
      </c>
      <c r="E5" s="403">
        <f>F5/1.18</f>
        <v>101.69491525423729</v>
      </c>
      <c r="F5" s="403">
        <v>120</v>
      </c>
      <c r="G5" s="76">
        <v>0.04</v>
      </c>
      <c r="H5" s="530"/>
      <c r="I5" s="530"/>
    </row>
    <row r="6" spans="3:123" x14ac:dyDescent="0.25">
      <c r="H6" s="530"/>
    </row>
    <row r="7" spans="3:123" x14ac:dyDescent="0.25">
      <c r="D7" s="531" t="s">
        <v>474</v>
      </c>
      <c r="E7" s="531" t="s">
        <v>475</v>
      </c>
      <c r="F7" s="532" t="s">
        <v>476</v>
      </c>
      <c r="G7" s="531" t="s">
        <v>477</v>
      </c>
    </row>
    <row r="8" spans="3:123" ht="26.25" customHeight="1" x14ac:dyDescent="0.25">
      <c r="D8" s="533" t="s">
        <v>478</v>
      </c>
      <c r="E8" s="534" t="s">
        <v>479</v>
      </c>
      <c r="F8" s="534" t="s">
        <v>480</v>
      </c>
      <c r="G8" s="534" t="s">
        <v>481</v>
      </c>
    </row>
    <row r="9" spans="3:123" ht="38.25" customHeight="1" x14ac:dyDescent="0.25">
      <c r="D9" s="157" t="s">
        <v>482</v>
      </c>
      <c r="E9" s="158">
        <v>510</v>
      </c>
      <c r="F9" s="158">
        <v>630</v>
      </c>
      <c r="G9" s="158">
        <v>900</v>
      </c>
    </row>
    <row r="10" spans="3:123" x14ac:dyDescent="0.25">
      <c r="H10" s="530"/>
      <c r="I10" s="77"/>
      <c r="J10" s="77"/>
      <c r="M10" s="77"/>
      <c r="N10" s="77"/>
      <c r="O10" s="77"/>
      <c r="P10" s="77"/>
      <c r="Q10" s="77"/>
      <c r="R10" s="77"/>
      <c r="S10" s="77"/>
      <c r="T10" s="77"/>
    </row>
    <row r="12" spans="3:123" x14ac:dyDescent="0.25">
      <c r="C12" s="799" t="s">
        <v>483</v>
      </c>
      <c r="D12" s="801"/>
      <c r="H12" s="530"/>
      <c r="I12" s="530"/>
      <c r="J12" s="530"/>
      <c r="K12" s="530"/>
      <c r="L12" s="530"/>
      <c r="M12" s="530"/>
      <c r="N12" s="530"/>
      <c r="O12" s="530"/>
      <c r="P12" s="530"/>
      <c r="Q12" s="530"/>
      <c r="R12" s="530"/>
      <c r="S12" s="530"/>
      <c r="T12" s="530"/>
    </row>
    <row r="13" spans="3:123" x14ac:dyDescent="0.25">
      <c r="C13" s="535"/>
      <c r="D13" s="535"/>
      <c r="H13" s="530"/>
      <c r="I13" s="530"/>
      <c r="J13" s="530"/>
      <c r="K13" s="530"/>
      <c r="L13" s="530"/>
      <c r="M13" s="530"/>
      <c r="N13" s="530"/>
      <c r="O13" s="530"/>
      <c r="P13" s="530"/>
      <c r="Q13" s="530"/>
      <c r="R13" s="530"/>
      <c r="S13" s="530"/>
      <c r="T13" s="530"/>
    </row>
    <row r="14" spans="3:123" x14ac:dyDescent="0.25">
      <c r="D14" s="799" t="s">
        <v>2</v>
      </c>
      <c r="E14" s="800"/>
      <c r="F14" s="800"/>
      <c r="G14" s="800"/>
      <c r="H14" s="800"/>
      <c r="I14" s="800"/>
      <c r="J14" s="800"/>
      <c r="K14" s="800"/>
      <c r="L14" s="800"/>
      <c r="M14" s="800"/>
      <c r="N14" s="800"/>
      <c r="O14" s="801"/>
      <c r="P14" s="799" t="s">
        <v>14</v>
      </c>
      <c r="Q14" s="800"/>
      <c r="R14" s="800"/>
      <c r="S14" s="800"/>
      <c r="T14" s="800"/>
      <c r="U14" s="800"/>
      <c r="V14" s="800"/>
      <c r="W14" s="800"/>
      <c r="X14" s="800"/>
      <c r="Y14" s="800"/>
      <c r="Z14" s="800"/>
      <c r="AA14" s="801"/>
      <c r="AB14" s="799" t="s">
        <v>15</v>
      </c>
      <c r="AC14" s="800"/>
      <c r="AD14" s="800"/>
      <c r="AE14" s="800"/>
      <c r="AF14" s="800"/>
      <c r="AG14" s="800"/>
      <c r="AH14" s="800"/>
      <c r="AI14" s="800"/>
      <c r="AJ14" s="800"/>
      <c r="AK14" s="800"/>
      <c r="AL14" s="800"/>
      <c r="AM14" s="801"/>
      <c r="AN14" s="799" t="s">
        <v>16</v>
      </c>
      <c r="AO14" s="800"/>
      <c r="AP14" s="800"/>
      <c r="AQ14" s="800"/>
      <c r="AR14" s="800"/>
      <c r="AS14" s="800"/>
      <c r="AT14" s="800"/>
      <c r="AU14" s="800"/>
      <c r="AV14" s="800"/>
      <c r="AW14" s="800"/>
      <c r="AX14" s="800"/>
      <c r="AY14" s="801"/>
      <c r="AZ14" s="799" t="s">
        <v>17</v>
      </c>
      <c r="BA14" s="800"/>
      <c r="BB14" s="800"/>
      <c r="BC14" s="800"/>
      <c r="BD14" s="800"/>
      <c r="BE14" s="800"/>
      <c r="BF14" s="800"/>
      <c r="BG14" s="800"/>
      <c r="BH14" s="800"/>
      <c r="BI14" s="800"/>
      <c r="BJ14" s="800"/>
      <c r="BK14" s="801"/>
      <c r="BL14" s="799" t="s">
        <v>18</v>
      </c>
      <c r="BM14" s="800"/>
      <c r="BN14" s="800"/>
      <c r="BO14" s="800"/>
      <c r="BP14" s="800"/>
      <c r="BQ14" s="800"/>
      <c r="BR14" s="800"/>
      <c r="BS14" s="800"/>
      <c r="BT14" s="800"/>
      <c r="BU14" s="800"/>
      <c r="BV14" s="800"/>
      <c r="BW14" s="801"/>
      <c r="BX14" s="799" t="s">
        <v>19</v>
      </c>
      <c r="BY14" s="800"/>
      <c r="BZ14" s="800"/>
      <c r="CA14" s="800"/>
      <c r="CB14" s="800"/>
      <c r="CC14" s="800"/>
      <c r="CD14" s="800"/>
      <c r="CE14" s="800"/>
      <c r="CF14" s="800"/>
      <c r="CG14" s="800"/>
      <c r="CH14" s="800"/>
      <c r="CI14" s="801"/>
      <c r="CJ14" s="799" t="s">
        <v>20</v>
      </c>
      <c r="CK14" s="800"/>
      <c r="CL14" s="800"/>
      <c r="CM14" s="800"/>
      <c r="CN14" s="800"/>
      <c r="CO14" s="800"/>
      <c r="CP14" s="800"/>
      <c r="CQ14" s="800"/>
      <c r="CR14" s="800"/>
      <c r="CS14" s="800"/>
      <c r="CT14" s="800"/>
      <c r="CU14" s="801"/>
      <c r="CV14" s="799" t="s">
        <v>21</v>
      </c>
      <c r="CW14" s="800"/>
      <c r="CX14" s="800"/>
      <c r="CY14" s="800"/>
      <c r="CZ14" s="800"/>
      <c r="DA14" s="800"/>
      <c r="DB14" s="800"/>
      <c r="DC14" s="800"/>
      <c r="DD14" s="800"/>
      <c r="DE14" s="800"/>
      <c r="DF14" s="800"/>
      <c r="DG14" s="801"/>
      <c r="DH14" s="799" t="s">
        <v>22</v>
      </c>
      <c r="DI14" s="800"/>
      <c r="DJ14" s="800"/>
      <c r="DK14" s="800"/>
      <c r="DL14" s="800"/>
      <c r="DM14" s="800"/>
      <c r="DN14" s="800"/>
      <c r="DO14" s="800"/>
      <c r="DP14" s="800"/>
      <c r="DQ14" s="800"/>
      <c r="DR14" s="800"/>
      <c r="DS14" s="801"/>
    </row>
    <row r="15" spans="3:123" x14ac:dyDescent="0.25">
      <c r="D15" s="159" t="s">
        <v>0</v>
      </c>
      <c r="E15" s="159" t="s">
        <v>1</v>
      </c>
      <c r="F15" s="159" t="s">
        <v>49</v>
      </c>
      <c r="G15" s="159" t="s">
        <v>50</v>
      </c>
      <c r="H15" s="159" t="s">
        <v>51</v>
      </c>
      <c r="I15" s="159" t="s">
        <v>52</v>
      </c>
      <c r="J15" s="159" t="s">
        <v>53</v>
      </c>
      <c r="K15" s="159" t="s">
        <v>54</v>
      </c>
      <c r="L15" s="159" t="s">
        <v>55</v>
      </c>
      <c r="M15" s="159" t="s">
        <v>56</v>
      </c>
      <c r="N15" s="159" t="s">
        <v>57</v>
      </c>
      <c r="O15" s="159" t="s">
        <v>58</v>
      </c>
      <c r="P15" s="159" t="s">
        <v>0</v>
      </c>
      <c r="Q15" s="159" t="s">
        <v>1</v>
      </c>
      <c r="R15" s="159" t="s">
        <v>49</v>
      </c>
      <c r="S15" s="159" t="s">
        <v>50</v>
      </c>
      <c r="T15" s="159" t="s">
        <v>51</v>
      </c>
      <c r="U15" s="159" t="s">
        <v>52</v>
      </c>
      <c r="V15" s="159" t="s">
        <v>53</v>
      </c>
      <c r="W15" s="159" t="s">
        <v>54</v>
      </c>
      <c r="X15" s="159" t="s">
        <v>55</v>
      </c>
      <c r="Y15" s="159" t="s">
        <v>56</v>
      </c>
      <c r="Z15" s="159" t="s">
        <v>57</v>
      </c>
      <c r="AA15" s="159" t="s">
        <v>58</v>
      </c>
      <c r="AB15" s="159" t="s">
        <v>0</v>
      </c>
      <c r="AC15" s="159" t="s">
        <v>1</v>
      </c>
      <c r="AD15" s="159" t="s">
        <v>49</v>
      </c>
      <c r="AE15" s="159" t="s">
        <v>50</v>
      </c>
      <c r="AF15" s="159" t="s">
        <v>51</v>
      </c>
      <c r="AG15" s="159" t="s">
        <v>52</v>
      </c>
      <c r="AH15" s="159" t="s">
        <v>53</v>
      </c>
      <c r="AI15" s="159" t="s">
        <v>54</v>
      </c>
      <c r="AJ15" s="159" t="s">
        <v>55</v>
      </c>
      <c r="AK15" s="159" t="s">
        <v>56</v>
      </c>
      <c r="AL15" s="159" t="s">
        <v>57</v>
      </c>
      <c r="AM15" s="159" t="s">
        <v>58</v>
      </c>
      <c r="AN15" s="159" t="s">
        <v>0</v>
      </c>
      <c r="AO15" s="159" t="s">
        <v>1</v>
      </c>
      <c r="AP15" s="159" t="s">
        <v>49</v>
      </c>
      <c r="AQ15" s="159" t="s">
        <v>50</v>
      </c>
      <c r="AR15" s="159" t="s">
        <v>51</v>
      </c>
      <c r="AS15" s="159" t="s">
        <v>52</v>
      </c>
      <c r="AT15" s="159" t="s">
        <v>53</v>
      </c>
      <c r="AU15" s="159" t="s">
        <v>54</v>
      </c>
      <c r="AV15" s="159" t="s">
        <v>55</v>
      </c>
      <c r="AW15" s="159" t="s">
        <v>56</v>
      </c>
      <c r="AX15" s="159" t="s">
        <v>57</v>
      </c>
      <c r="AY15" s="159" t="s">
        <v>58</v>
      </c>
      <c r="AZ15" s="159" t="s">
        <v>0</v>
      </c>
      <c r="BA15" s="159" t="s">
        <v>1</v>
      </c>
      <c r="BB15" s="159" t="s">
        <v>49</v>
      </c>
      <c r="BC15" s="159" t="s">
        <v>50</v>
      </c>
      <c r="BD15" s="159" t="s">
        <v>51</v>
      </c>
      <c r="BE15" s="159" t="s">
        <v>52</v>
      </c>
      <c r="BF15" s="159" t="s">
        <v>53</v>
      </c>
      <c r="BG15" s="159" t="s">
        <v>54</v>
      </c>
      <c r="BH15" s="159" t="s">
        <v>55</v>
      </c>
      <c r="BI15" s="159" t="s">
        <v>56</v>
      </c>
      <c r="BJ15" s="159" t="s">
        <v>57</v>
      </c>
      <c r="BK15" s="159" t="s">
        <v>58</v>
      </c>
      <c r="BL15" s="159" t="s">
        <v>0</v>
      </c>
      <c r="BM15" s="159" t="s">
        <v>1</v>
      </c>
      <c r="BN15" s="159" t="s">
        <v>49</v>
      </c>
      <c r="BO15" s="159" t="s">
        <v>50</v>
      </c>
      <c r="BP15" s="159" t="s">
        <v>51</v>
      </c>
      <c r="BQ15" s="159" t="s">
        <v>52</v>
      </c>
      <c r="BR15" s="159" t="s">
        <v>53</v>
      </c>
      <c r="BS15" s="159" t="s">
        <v>54</v>
      </c>
      <c r="BT15" s="159" t="s">
        <v>55</v>
      </c>
      <c r="BU15" s="159" t="s">
        <v>56</v>
      </c>
      <c r="BV15" s="159" t="s">
        <v>57</v>
      </c>
      <c r="BW15" s="159" t="s">
        <v>58</v>
      </c>
      <c r="BX15" s="159" t="s">
        <v>0</v>
      </c>
      <c r="BY15" s="159" t="s">
        <v>1</v>
      </c>
      <c r="BZ15" s="159" t="s">
        <v>49</v>
      </c>
      <c r="CA15" s="159" t="s">
        <v>50</v>
      </c>
      <c r="CB15" s="159" t="s">
        <v>51</v>
      </c>
      <c r="CC15" s="159" t="s">
        <v>52</v>
      </c>
      <c r="CD15" s="159" t="s">
        <v>53</v>
      </c>
      <c r="CE15" s="159" t="s">
        <v>54</v>
      </c>
      <c r="CF15" s="159" t="s">
        <v>55</v>
      </c>
      <c r="CG15" s="159" t="s">
        <v>56</v>
      </c>
      <c r="CH15" s="159" t="s">
        <v>57</v>
      </c>
      <c r="CI15" s="159" t="s">
        <v>58</v>
      </c>
      <c r="CJ15" s="159" t="s">
        <v>0</v>
      </c>
      <c r="CK15" s="159" t="s">
        <v>1</v>
      </c>
      <c r="CL15" s="159" t="s">
        <v>49</v>
      </c>
      <c r="CM15" s="159" t="s">
        <v>50</v>
      </c>
      <c r="CN15" s="159" t="s">
        <v>51</v>
      </c>
      <c r="CO15" s="159" t="s">
        <v>52</v>
      </c>
      <c r="CP15" s="159" t="s">
        <v>53</v>
      </c>
      <c r="CQ15" s="159" t="s">
        <v>54</v>
      </c>
      <c r="CR15" s="159" t="s">
        <v>55</v>
      </c>
      <c r="CS15" s="159" t="s">
        <v>56</v>
      </c>
      <c r="CT15" s="159" t="s">
        <v>57</v>
      </c>
      <c r="CU15" s="159" t="s">
        <v>58</v>
      </c>
      <c r="CV15" s="159" t="s">
        <v>0</v>
      </c>
      <c r="CW15" s="159" t="s">
        <v>1</v>
      </c>
      <c r="CX15" s="159" t="s">
        <v>49</v>
      </c>
      <c r="CY15" s="159" t="s">
        <v>50</v>
      </c>
      <c r="CZ15" s="159" t="s">
        <v>51</v>
      </c>
      <c r="DA15" s="159" t="s">
        <v>52</v>
      </c>
      <c r="DB15" s="159" t="s">
        <v>53</v>
      </c>
      <c r="DC15" s="159" t="s">
        <v>54</v>
      </c>
      <c r="DD15" s="159" t="s">
        <v>55</v>
      </c>
      <c r="DE15" s="159" t="s">
        <v>56</v>
      </c>
      <c r="DF15" s="159" t="s">
        <v>57</v>
      </c>
      <c r="DG15" s="159" t="s">
        <v>58</v>
      </c>
      <c r="DH15" s="159" t="s">
        <v>0</v>
      </c>
      <c r="DI15" s="159" t="s">
        <v>1</v>
      </c>
      <c r="DJ15" s="159" t="s">
        <v>49</v>
      </c>
      <c r="DK15" s="159" t="s">
        <v>50</v>
      </c>
      <c r="DL15" s="159" t="s">
        <v>51</v>
      </c>
      <c r="DM15" s="159" t="s">
        <v>52</v>
      </c>
      <c r="DN15" s="159" t="s">
        <v>53</v>
      </c>
      <c r="DO15" s="159" t="s">
        <v>54</v>
      </c>
      <c r="DP15" s="159" t="s">
        <v>55</v>
      </c>
      <c r="DQ15" s="159" t="s">
        <v>56</v>
      </c>
      <c r="DR15" s="159" t="s">
        <v>57</v>
      </c>
      <c r="DS15" s="159" t="s">
        <v>58</v>
      </c>
    </row>
    <row r="16" spans="3:123" x14ac:dyDescent="0.25">
      <c r="C16" s="536" t="s">
        <v>111</v>
      </c>
      <c r="D16" s="78">
        <f>ROUNDDOWN('INGRESOS AFILIACIONES'!F13*'OTROS INGRESOS'!$G$5,0)</f>
        <v>2</v>
      </c>
      <c r="E16" s="78">
        <f>ROUNDDOWN('INGRESOS AFILIACIONES'!G13*'OTROS INGRESOS'!$G$5,0)</f>
        <v>2</v>
      </c>
      <c r="F16" s="78">
        <f>ROUNDDOWN('INGRESOS AFILIACIONES'!H13*'OTROS INGRESOS'!$G$5,0)</f>
        <v>3</v>
      </c>
      <c r="G16" s="78">
        <f>ROUNDDOWN('INGRESOS AFILIACIONES'!I13*'OTROS INGRESOS'!$G$5,0)</f>
        <v>2</v>
      </c>
      <c r="H16" s="78">
        <f>ROUNDDOWN('INGRESOS AFILIACIONES'!J13*'OTROS INGRESOS'!$G$5,0)</f>
        <v>2</v>
      </c>
      <c r="I16" s="78">
        <f>ROUNDDOWN('INGRESOS AFILIACIONES'!K13*'OTROS INGRESOS'!$G$5,0)</f>
        <v>2</v>
      </c>
      <c r="J16" s="78">
        <f>ROUNDDOWN('INGRESOS AFILIACIONES'!L13*'OTROS INGRESOS'!$G$5,0)</f>
        <v>3</v>
      </c>
      <c r="K16" s="78">
        <f>ROUNDDOWN('INGRESOS AFILIACIONES'!M13*'OTROS INGRESOS'!$G$5,0)</f>
        <v>3</v>
      </c>
      <c r="L16" s="78">
        <f>ROUNDDOWN('INGRESOS AFILIACIONES'!N13*'OTROS INGRESOS'!$G$5,0)</f>
        <v>3</v>
      </c>
      <c r="M16" s="78">
        <f>ROUNDDOWN('INGRESOS AFILIACIONES'!O13*'OTROS INGRESOS'!$G$5,0)</f>
        <v>3</v>
      </c>
      <c r="N16" s="78">
        <f>ROUNDDOWN('INGRESOS AFILIACIONES'!P13*'OTROS INGRESOS'!$G$5,0)</f>
        <v>3</v>
      </c>
      <c r="O16" s="78">
        <f>ROUNDDOWN('INGRESOS AFILIACIONES'!Q13*'OTROS INGRESOS'!$G$5,0)</f>
        <v>2</v>
      </c>
      <c r="P16" s="78">
        <f>ROUNDDOWN('INGRESOS AFILIACIONES'!R13*'OTROS INGRESOS'!$G$5,0)</f>
        <v>4</v>
      </c>
      <c r="Q16" s="78">
        <f>ROUNDDOWN('INGRESOS AFILIACIONES'!S13*'OTROS INGRESOS'!$G$5,0)</f>
        <v>3</v>
      </c>
      <c r="R16" s="78">
        <f>ROUNDDOWN('INGRESOS AFILIACIONES'!T13*'OTROS INGRESOS'!$G$5,0)</f>
        <v>2</v>
      </c>
      <c r="S16" s="78">
        <f>ROUNDDOWN('INGRESOS AFILIACIONES'!U13*'OTROS INGRESOS'!$G$5,0)</f>
        <v>2</v>
      </c>
      <c r="T16" s="78">
        <f>ROUNDDOWN('INGRESOS AFILIACIONES'!V13*'OTROS INGRESOS'!$G$5,0)</f>
        <v>2</v>
      </c>
      <c r="U16" s="78">
        <f>ROUNDDOWN('INGRESOS AFILIACIONES'!W13*'OTROS INGRESOS'!$G$5,0)</f>
        <v>2</v>
      </c>
      <c r="V16" s="78">
        <f>ROUNDDOWN('INGRESOS AFILIACIONES'!X13*'OTROS INGRESOS'!$G$5,0)</f>
        <v>3</v>
      </c>
      <c r="W16" s="78">
        <f>ROUNDDOWN('INGRESOS AFILIACIONES'!Y13*'OTROS INGRESOS'!$G$5,0)</f>
        <v>3</v>
      </c>
      <c r="X16" s="78">
        <f>ROUNDDOWN('INGRESOS AFILIACIONES'!Z13*'OTROS INGRESOS'!$G$5,0)</f>
        <v>3</v>
      </c>
      <c r="Y16" s="78">
        <f>ROUNDDOWN('INGRESOS AFILIACIONES'!AA13*'OTROS INGRESOS'!$G$5,0)</f>
        <v>3</v>
      </c>
      <c r="Z16" s="78">
        <f>ROUNDDOWN('INGRESOS AFILIACIONES'!AB13*'OTROS INGRESOS'!$G$5,0)</f>
        <v>2</v>
      </c>
      <c r="AA16" s="78">
        <f>ROUNDDOWN('INGRESOS AFILIACIONES'!AC13*'OTROS INGRESOS'!$G$5,0)</f>
        <v>2</v>
      </c>
      <c r="AB16" s="78">
        <f>ROUNDDOWN('INGRESOS AFILIACIONES'!AD13*'OTROS INGRESOS'!$G$5,0)</f>
        <v>4</v>
      </c>
      <c r="AC16" s="78">
        <f>ROUNDDOWN('INGRESOS AFILIACIONES'!AE13*'OTROS INGRESOS'!$G$5,0)</f>
        <v>3</v>
      </c>
      <c r="AD16" s="78">
        <f>ROUNDDOWN('INGRESOS AFILIACIONES'!AF13*'OTROS INGRESOS'!$G$5,0)</f>
        <v>3</v>
      </c>
      <c r="AE16" s="78">
        <f>ROUNDDOWN('INGRESOS AFILIACIONES'!AG13*'OTROS INGRESOS'!$G$5,0)</f>
        <v>2</v>
      </c>
      <c r="AF16" s="78">
        <f>ROUNDDOWN('INGRESOS AFILIACIONES'!AH13*'OTROS INGRESOS'!$G$5,0)</f>
        <v>2</v>
      </c>
      <c r="AG16" s="78">
        <f>ROUNDDOWN('INGRESOS AFILIACIONES'!AI13*'OTROS INGRESOS'!$G$5,0)</f>
        <v>3</v>
      </c>
      <c r="AH16" s="78">
        <f>ROUNDDOWN('INGRESOS AFILIACIONES'!AJ13*'OTROS INGRESOS'!$G$5,0)</f>
        <v>3</v>
      </c>
      <c r="AI16" s="78">
        <f>ROUNDDOWN('INGRESOS AFILIACIONES'!AK13*'OTROS INGRESOS'!$G$5,0)</f>
        <v>3</v>
      </c>
      <c r="AJ16" s="78">
        <f>ROUNDDOWN('INGRESOS AFILIACIONES'!AL13*'OTROS INGRESOS'!$G$5,0)</f>
        <v>3</v>
      </c>
      <c r="AK16" s="78">
        <f>ROUNDDOWN('INGRESOS AFILIACIONES'!AM13*'OTROS INGRESOS'!$G$5,0)</f>
        <v>3</v>
      </c>
      <c r="AL16" s="78">
        <f>ROUNDDOWN('INGRESOS AFILIACIONES'!AN13*'OTROS INGRESOS'!$G$5,0)</f>
        <v>3</v>
      </c>
      <c r="AM16" s="78">
        <f>ROUNDDOWN('INGRESOS AFILIACIONES'!AO13*'OTROS INGRESOS'!$G$5,0)</f>
        <v>2</v>
      </c>
      <c r="AN16" s="78">
        <f>ROUNDDOWN('INGRESOS AFILIACIONES'!AP13*'OTROS INGRESOS'!$G$5,0)</f>
        <v>4</v>
      </c>
      <c r="AO16" s="78">
        <f>ROUNDDOWN('INGRESOS AFILIACIONES'!AQ13*'OTROS INGRESOS'!$G$5,0)</f>
        <v>4</v>
      </c>
      <c r="AP16" s="78">
        <f>ROUNDDOWN('INGRESOS AFILIACIONES'!AR13*'OTROS INGRESOS'!$G$5,0)</f>
        <v>3</v>
      </c>
      <c r="AQ16" s="78">
        <f>ROUNDDOWN('INGRESOS AFILIACIONES'!AS13*'OTROS INGRESOS'!$G$5,0)</f>
        <v>2</v>
      </c>
      <c r="AR16" s="78">
        <f>ROUNDDOWN('INGRESOS AFILIACIONES'!AT13*'OTROS INGRESOS'!$G$5,0)</f>
        <v>2</v>
      </c>
      <c r="AS16" s="78">
        <f>ROUNDDOWN('INGRESOS AFILIACIONES'!AU13*'OTROS INGRESOS'!$G$5,0)</f>
        <v>3</v>
      </c>
      <c r="AT16" s="78">
        <f>ROUNDDOWN('INGRESOS AFILIACIONES'!AV13*'OTROS INGRESOS'!$G$5,0)</f>
        <v>3</v>
      </c>
      <c r="AU16" s="78">
        <f>ROUNDDOWN('INGRESOS AFILIACIONES'!AW13*'OTROS INGRESOS'!$G$5,0)</f>
        <v>4</v>
      </c>
      <c r="AV16" s="78">
        <f>ROUNDDOWN('INGRESOS AFILIACIONES'!AX13*'OTROS INGRESOS'!$G$5,0)</f>
        <v>4</v>
      </c>
      <c r="AW16" s="78">
        <f>ROUNDDOWN('INGRESOS AFILIACIONES'!AY13*'OTROS INGRESOS'!$G$5,0)</f>
        <v>3</v>
      </c>
      <c r="AX16" s="78">
        <f>ROUNDDOWN('INGRESOS AFILIACIONES'!AZ13*'OTROS INGRESOS'!$G$5,0)</f>
        <v>3</v>
      </c>
      <c r="AY16" s="78">
        <f>ROUNDDOWN('INGRESOS AFILIACIONES'!BA13*'OTROS INGRESOS'!$G$5,0)</f>
        <v>3</v>
      </c>
      <c r="AZ16" s="78">
        <f>ROUNDDOWN('INGRESOS AFILIACIONES'!BB13*'OTROS INGRESOS'!$G$5,0)</f>
        <v>5</v>
      </c>
      <c r="BA16" s="78">
        <f>ROUNDDOWN('INGRESOS AFILIACIONES'!BC13*'OTROS INGRESOS'!$G$5,0)</f>
        <v>4</v>
      </c>
      <c r="BB16" s="78">
        <f>ROUNDDOWN('INGRESOS AFILIACIONES'!BD13*'OTROS INGRESOS'!$G$5,0)</f>
        <v>3</v>
      </c>
      <c r="BC16" s="78">
        <f>ROUNDDOWN('INGRESOS AFILIACIONES'!BE13*'OTROS INGRESOS'!$G$5,0)</f>
        <v>2</v>
      </c>
      <c r="BD16" s="78">
        <f>ROUNDDOWN('INGRESOS AFILIACIONES'!BF13*'OTROS INGRESOS'!$G$5,0)</f>
        <v>2</v>
      </c>
      <c r="BE16" s="78">
        <f>ROUNDDOWN('INGRESOS AFILIACIONES'!BG13*'OTROS INGRESOS'!$G$5,0)</f>
        <v>3</v>
      </c>
      <c r="BF16" s="78">
        <f>ROUNDDOWN('INGRESOS AFILIACIONES'!BH13*'OTROS INGRESOS'!$G$5,0)</f>
        <v>4</v>
      </c>
      <c r="BG16" s="78">
        <f>ROUNDDOWN('INGRESOS AFILIACIONES'!BI13*'OTROS INGRESOS'!$G$5,0)</f>
        <v>4</v>
      </c>
      <c r="BH16" s="78">
        <f>ROUNDDOWN('INGRESOS AFILIACIONES'!BJ13*'OTROS INGRESOS'!$G$5,0)</f>
        <v>4</v>
      </c>
      <c r="BI16" s="78">
        <f>ROUNDDOWN('INGRESOS AFILIACIONES'!BK13*'OTROS INGRESOS'!$G$5,0)</f>
        <v>4</v>
      </c>
      <c r="BJ16" s="78">
        <f>ROUNDDOWN('INGRESOS AFILIACIONES'!BL13*'OTROS INGRESOS'!$G$5,0)</f>
        <v>3</v>
      </c>
      <c r="BK16" s="78">
        <f>ROUNDDOWN('INGRESOS AFILIACIONES'!BM13*'OTROS INGRESOS'!$G$5,0)</f>
        <v>3</v>
      </c>
      <c r="BL16" s="78">
        <f>ROUNDDOWN('INGRESOS AFILIACIONES'!BN13*'OTROS INGRESOS'!$G$5,0)</f>
        <v>5</v>
      </c>
      <c r="BM16" s="78">
        <f>ROUNDDOWN('INGRESOS AFILIACIONES'!BO13*'OTROS INGRESOS'!$G$5,0)</f>
        <v>4</v>
      </c>
      <c r="BN16" s="78">
        <f>ROUNDDOWN('INGRESOS AFILIACIONES'!BP13*'OTROS INGRESOS'!$G$5,0)</f>
        <v>3</v>
      </c>
      <c r="BO16" s="78">
        <f>ROUNDDOWN('INGRESOS AFILIACIONES'!BQ13*'OTROS INGRESOS'!$G$5,0)</f>
        <v>2</v>
      </c>
      <c r="BP16" s="78">
        <f>ROUNDDOWN('INGRESOS AFILIACIONES'!BR13*'OTROS INGRESOS'!$G$5,0)</f>
        <v>2</v>
      </c>
      <c r="BQ16" s="78">
        <f>ROUNDDOWN('INGRESOS AFILIACIONES'!BS13*'OTROS INGRESOS'!$G$5,0)</f>
        <v>3</v>
      </c>
      <c r="BR16" s="78">
        <f>ROUNDDOWN('INGRESOS AFILIACIONES'!BT13*'OTROS INGRESOS'!$G$5,0)</f>
        <v>4</v>
      </c>
      <c r="BS16" s="78">
        <f>ROUNDDOWN('INGRESOS AFILIACIONES'!BU13*'OTROS INGRESOS'!$G$5,0)</f>
        <v>4</v>
      </c>
      <c r="BT16" s="78">
        <f>ROUNDDOWN('INGRESOS AFILIACIONES'!BV13*'OTROS INGRESOS'!$G$5,0)</f>
        <v>4</v>
      </c>
      <c r="BU16" s="78">
        <f>ROUNDDOWN('INGRESOS AFILIACIONES'!BW13*'OTROS INGRESOS'!$G$5,0)</f>
        <v>4</v>
      </c>
      <c r="BV16" s="78">
        <f>ROUNDDOWN('INGRESOS AFILIACIONES'!BX13*'OTROS INGRESOS'!$G$5,0)</f>
        <v>3</v>
      </c>
      <c r="BW16" s="78">
        <f>ROUNDDOWN('INGRESOS AFILIACIONES'!BY13*'OTROS INGRESOS'!$G$5,0)</f>
        <v>3</v>
      </c>
      <c r="BX16" s="78">
        <f>ROUNDDOWN('INGRESOS AFILIACIONES'!BZ13*'OTROS INGRESOS'!$G$5,0)</f>
        <v>5</v>
      </c>
      <c r="BY16" s="78">
        <f>ROUNDDOWN('INGRESOS AFILIACIONES'!CA13*'OTROS INGRESOS'!$G$5,0)</f>
        <v>5</v>
      </c>
      <c r="BZ16" s="78">
        <f>ROUNDDOWN('INGRESOS AFILIACIONES'!CB13*'OTROS INGRESOS'!$G$5,0)</f>
        <v>4</v>
      </c>
      <c r="CA16" s="78">
        <f>ROUNDDOWN('INGRESOS AFILIACIONES'!CC13*'OTROS INGRESOS'!$G$5,0)</f>
        <v>3</v>
      </c>
      <c r="CB16" s="78">
        <f>ROUNDDOWN('INGRESOS AFILIACIONES'!CD13*'OTROS INGRESOS'!$G$5,0)</f>
        <v>3</v>
      </c>
      <c r="CC16" s="78">
        <f>ROUNDDOWN('INGRESOS AFILIACIONES'!CE13*'OTROS INGRESOS'!$G$5,0)</f>
        <v>3</v>
      </c>
      <c r="CD16" s="78">
        <f>ROUNDDOWN('INGRESOS AFILIACIONES'!CF13*'OTROS INGRESOS'!$G$5,0)</f>
        <v>4</v>
      </c>
      <c r="CE16" s="78">
        <f>ROUNDDOWN('INGRESOS AFILIACIONES'!CG13*'OTROS INGRESOS'!$G$5,0)</f>
        <v>4</v>
      </c>
      <c r="CF16" s="78">
        <f>ROUNDDOWN('INGRESOS AFILIACIONES'!CH13*'OTROS INGRESOS'!$G$5,0)</f>
        <v>5</v>
      </c>
      <c r="CG16" s="78">
        <f>ROUNDDOWN('INGRESOS AFILIACIONES'!CI13*'OTROS INGRESOS'!$G$5,0)</f>
        <v>4</v>
      </c>
      <c r="CH16" s="78">
        <f>ROUNDDOWN('INGRESOS AFILIACIONES'!CJ13*'OTROS INGRESOS'!$G$5,0)</f>
        <v>4</v>
      </c>
      <c r="CI16" s="78">
        <f>ROUNDDOWN('INGRESOS AFILIACIONES'!CK13*'OTROS INGRESOS'!$G$5,0)</f>
        <v>3</v>
      </c>
      <c r="CJ16" s="78">
        <f>ROUNDDOWN('INGRESOS AFILIACIONES'!CL13*'OTROS INGRESOS'!$G$5,0)</f>
        <v>6</v>
      </c>
      <c r="CK16" s="78">
        <f>ROUNDDOWN('INGRESOS AFILIACIONES'!CM13*'OTROS INGRESOS'!$G$5,0)</f>
        <v>5</v>
      </c>
      <c r="CL16" s="78">
        <f>ROUNDDOWN('INGRESOS AFILIACIONES'!CN13*'OTROS INGRESOS'!$G$5,0)</f>
        <v>4</v>
      </c>
      <c r="CM16" s="78">
        <f>ROUNDDOWN('INGRESOS AFILIACIONES'!CO13*'OTROS INGRESOS'!$G$5,0)</f>
        <v>3</v>
      </c>
      <c r="CN16" s="78">
        <f>ROUNDDOWN('INGRESOS AFILIACIONES'!CP13*'OTROS INGRESOS'!$G$5,0)</f>
        <v>3</v>
      </c>
      <c r="CO16" s="78">
        <f>ROUNDDOWN('INGRESOS AFILIACIONES'!CQ13*'OTROS INGRESOS'!$G$5,0)</f>
        <v>4</v>
      </c>
      <c r="CP16" s="78">
        <f>ROUNDDOWN('INGRESOS AFILIACIONES'!CR13*'OTROS INGRESOS'!$G$5,0)</f>
        <v>5</v>
      </c>
      <c r="CQ16" s="78">
        <f>ROUNDDOWN('INGRESOS AFILIACIONES'!CS13*'OTROS INGRESOS'!$G$5,0)</f>
        <v>5</v>
      </c>
      <c r="CR16" s="78">
        <f>ROUNDDOWN('INGRESOS AFILIACIONES'!CT13*'OTROS INGRESOS'!$G$5,0)</f>
        <v>5</v>
      </c>
      <c r="CS16" s="78">
        <f>ROUNDDOWN('INGRESOS AFILIACIONES'!CU13*'OTROS INGRESOS'!$G$5,0)</f>
        <v>5</v>
      </c>
      <c r="CT16" s="78">
        <f>ROUNDDOWN('INGRESOS AFILIACIONES'!CV13*'OTROS INGRESOS'!$G$5,0)</f>
        <v>4</v>
      </c>
      <c r="CU16" s="78">
        <f>ROUNDDOWN('INGRESOS AFILIACIONES'!CW13*'OTROS INGRESOS'!$G$5,0)</f>
        <v>4</v>
      </c>
      <c r="CV16" s="78">
        <f>ROUNDDOWN('INGRESOS AFILIACIONES'!CX13*'OTROS INGRESOS'!$G$5,0)</f>
        <v>6</v>
      </c>
      <c r="CW16" s="78">
        <f>ROUNDDOWN('INGRESOS AFILIACIONES'!CY13*'OTROS INGRESOS'!$G$5,0)</f>
        <v>5</v>
      </c>
      <c r="CX16" s="78">
        <f>ROUNDDOWN('INGRESOS AFILIACIONES'!CZ13*'OTROS INGRESOS'!$G$5,0)</f>
        <v>4</v>
      </c>
      <c r="CY16" s="78">
        <f>ROUNDDOWN('INGRESOS AFILIACIONES'!DA13*'OTROS INGRESOS'!$G$5,0)</f>
        <v>3</v>
      </c>
      <c r="CZ16" s="78">
        <f>ROUNDDOWN('INGRESOS AFILIACIONES'!DB13*'OTROS INGRESOS'!$G$5,0)</f>
        <v>3</v>
      </c>
      <c r="DA16" s="78">
        <f>ROUNDDOWN('INGRESOS AFILIACIONES'!DC13*'OTROS INGRESOS'!$G$5,0)</f>
        <v>4</v>
      </c>
      <c r="DB16" s="78">
        <f>ROUNDDOWN('INGRESOS AFILIACIONES'!DD13*'OTROS INGRESOS'!$G$5,0)</f>
        <v>5</v>
      </c>
      <c r="DC16" s="78">
        <f>ROUNDDOWN('INGRESOS AFILIACIONES'!DE13*'OTROS INGRESOS'!$G$5,0)</f>
        <v>5</v>
      </c>
      <c r="DD16" s="78">
        <f>ROUNDDOWN('INGRESOS AFILIACIONES'!DF13*'OTROS INGRESOS'!$G$5,0)</f>
        <v>5</v>
      </c>
      <c r="DE16" s="78">
        <f>ROUNDDOWN('INGRESOS AFILIACIONES'!DG13*'OTROS INGRESOS'!$G$5,0)</f>
        <v>5</v>
      </c>
      <c r="DF16" s="78">
        <f>ROUNDDOWN('INGRESOS AFILIACIONES'!DH13*'OTROS INGRESOS'!$G$5,0)</f>
        <v>4</v>
      </c>
      <c r="DG16" s="78">
        <f>ROUNDDOWN('INGRESOS AFILIACIONES'!DI13*'OTROS INGRESOS'!$G$5,0)</f>
        <v>4</v>
      </c>
      <c r="DH16" s="78">
        <f>ROUNDDOWN('INGRESOS AFILIACIONES'!DJ13*'OTROS INGRESOS'!$G$5,0)</f>
        <v>7</v>
      </c>
      <c r="DI16" s="78">
        <f>ROUNDDOWN('INGRESOS AFILIACIONES'!DK13*'OTROS INGRESOS'!$G$5,0)</f>
        <v>6</v>
      </c>
      <c r="DJ16" s="78">
        <f>ROUNDDOWN('INGRESOS AFILIACIONES'!DL13*'OTROS INGRESOS'!$G$5,0)</f>
        <v>5</v>
      </c>
      <c r="DK16" s="78">
        <f>ROUNDDOWN('INGRESOS AFILIACIONES'!DM13*'OTROS INGRESOS'!$G$5,0)</f>
        <v>3</v>
      </c>
      <c r="DL16" s="78">
        <f>ROUNDDOWN('INGRESOS AFILIACIONES'!DN13*'OTROS INGRESOS'!$G$5,0)</f>
        <v>3</v>
      </c>
      <c r="DM16" s="78">
        <f>ROUNDDOWN('INGRESOS AFILIACIONES'!DO13*'OTROS INGRESOS'!$G$5,0)</f>
        <v>4</v>
      </c>
      <c r="DN16" s="78">
        <f>ROUNDDOWN('INGRESOS AFILIACIONES'!DP13*'OTROS INGRESOS'!$G$5,0)</f>
        <v>5</v>
      </c>
      <c r="DO16" s="78">
        <f>ROUNDDOWN('INGRESOS AFILIACIONES'!DQ13*'OTROS INGRESOS'!$G$5,0)</f>
        <v>6</v>
      </c>
      <c r="DP16" s="78">
        <f>ROUNDDOWN('INGRESOS AFILIACIONES'!DR13*'OTROS INGRESOS'!$G$5,0)</f>
        <v>6</v>
      </c>
      <c r="DQ16" s="78">
        <f>ROUNDDOWN('INGRESOS AFILIACIONES'!DS13*'OTROS INGRESOS'!$G$5,0)</f>
        <v>5</v>
      </c>
      <c r="DR16" s="78">
        <f>ROUNDDOWN('INGRESOS AFILIACIONES'!DT13*'OTROS INGRESOS'!$G$5,0)</f>
        <v>5</v>
      </c>
      <c r="DS16" s="78">
        <f>ROUNDDOWN('INGRESOS AFILIACIONES'!DU13*'OTROS INGRESOS'!$G$5,0)</f>
        <v>4</v>
      </c>
    </row>
    <row r="17" spans="3:123" x14ac:dyDescent="0.25">
      <c r="C17" s="536" t="s">
        <v>112</v>
      </c>
      <c r="D17" s="78">
        <f>ROUNDDOWN('INGRESOS AFILIACIONES'!F14*'OTROS INGRESOS'!$G$5,0)</f>
        <v>0</v>
      </c>
      <c r="E17" s="78">
        <f>ROUNDDOWN('INGRESOS AFILIACIONES'!G14*'OTROS INGRESOS'!$G$5,0)</f>
        <v>0</v>
      </c>
      <c r="F17" s="78">
        <f>ROUNDDOWN('INGRESOS AFILIACIONES'!H14*'OTROS INGRESOS'!$G$5,0)</f>
        <v>0</v>
      </c>
      <c r="G17" s="78">
        <f>ROUNDDOWN('INGRESOS AFILIACIONES'!I14*'OTROS INGRESOS'!$G$5,0)</f>
        <v>0</v>
      </c>
      <c r="H17" s="78">
        <f>ROUNDDOWN('INGRESOS AFILIACIONES'!J14*'OTROS INGRESOS'!$G$5,0)</f>
        <v>0</v>
      </c>
      <c r="I17" s="78">
        <f>ROUNDDOWN('INGRESOS AFILIACIONES'!K14*'OTROS INGRESOS'!$G$5,0)</f>
        <v>0</v>
      </c>
      <c r="J17" s="78">
        <f>ROUNDDOWN('INGRESOS AFILIACIONES'!L14*'OTROS INGRESOS'!$G$5,0)</f>
        <v>0</v>
      </c>
      <c r="K17" s="78">
        <f>ROUNDDOWN('INGRESOS AFILIACIONES'!M14*'OTROS INGRESOS'!$G$5,0)</f>
        <v>0</v>
      </c>
      <c r="L17" s="78">
        <f>ROUNDDOWN('INGRESOS AFILIACIONES'!N14*'OTROS INGRESOS'!$G$5,0)</f>
        <v>0</v>
      </c>
      <c r="M17" s="78">
        <f>ROUNDDOWN('INGRESOS AFILIACIONES'!O14*'OTROS INGRESOS'!$G$5,0)</f>
        <v>0</v>
      </c>
      <c r="N17" s="78">
        <f>ROUNDDOWN('INGRESOS AFILIACIONES'!P14*'OTROS INGRESOS'!$G$5,0)</f>
        <v>0</v>
      </c>
      <c r="O17" s="78">
        <f>ROUNDDOWN('INGRESOS AFILIACIONES'!Q14*'OTROS INGRESOS'!$G$5,0)</f>
        <v>0</v>
      </c>
      <c r="P17" s="78">
        <f>ROUNDDOWN('INGRESOS AFILIACIONES'!R14*'OTROS INGRESOS'!$G$5,0)</f>
        <v>1</v>
      </c>
      <c r="Q17" s="78">
        <f>ROUNDDOWN('INGRESOS AFILIACIONES'!S14*'OTROS INGRESOS'!$G$5,0)</f>
        <v>1</v>
      </c>
      <c r="R17" s="78">
        <f>ROUNDDOWN('INGRESOS AFILIACIONES'!T14*'OTROS INGRESOS'!$G$5,0)</f>
        <v>0</v>
      </c>
      <c r="S17" s="78">
        <f>ROUNDDOWN('INGRESOS AFILIACIONES'!U14*'OTROS INGRESOS'!$G$5,0)</f>
        <v>0</v>
      </c>
      <c r="T17" s="78">
        <f>ROUNDDOWN('INGRESOS AFILIACIONES'!V14*'OTROS INGRESOS'!$G$5,0)</f>
        <v>0</v>
      </c>
      <c r="U17" s="78">
        <f>ROUNDDOWN('INGRESOS AFILIACIONES'!W14*'OTROS INGRESOS'!$G$5,0)</f>
        <v>0</v>
      </c>
      <c r="V17" s="78">
        <f>ROUNDDOWN('INGRESOS AFILIACIONES'!X14*'OTROS INGRESOS'!$G$5,0)</f>
        <v>0</v>
      </c>
      <c r="W17" s="78">
        <f>ROUNDDOWN('INGRESOS AFILIACIONES'!Y14*'OTROS INGRESOS'!$G$5,0)</f>
        <v>0</v>
      </c>
      <c r="X17" s="78">
        <f>ROUNDDOWN('INGRESOS AFILIACIONES'!Z14*'OTROS INGRESOS'!$G$5,0)</f>
        <v>1</v>
      </c>
      <c r="Y17" s="78">
        <f>ROUNDDOWN('INGRESOS AFILIACIONES'!AA14*'OTROS INGRESOS'!$G$5,0)</f>
        <v>0</v>
      </c>
      <c r="Z17" s="78">
        <f>ROUNDDOWN('INGRESOS AFILIACIONES'!AB14*'OTROS INGRESOS'!$G$5,0)</f>
        <v>0</v>
      </c>
      <c r="AA17" s="78">
        <f>ROUNDDOWN('INGRESOS AFILIACIONES'!AC14*'OTROS INGRESOS'!$G$5,0)</f>
        <v>0</v>
      </c>
      <c r="AB17" s="78">
        <f>ROUNDDOWN('INGRESOS AFILIACIONES'!AD14*'OTROS INGRESOS'!$G$5,0)</f>
        <v>1</v>
      </c>
      <c r="AC17" s="78">
        <f>ROUNDDOWN('INGRESOS AFILIACIONES'!AE14*'OTROS INGRESOS'!$G$5,0)</f>
        <v>1</v>
      </c>
      <c r="AD17" s="78">
        <f>ROUNDDOWN('INGRESOS AFILIACIONES'!AF14*'OTROS INGRESOS'!$G$5,0)</f>
        <v>0</v>
      </c>
      <c r="AE17" s="78">
        <f>ROUNDDOWN('INGRESOS AFILIACIONES'!AG14*'OTROS INGRESOS'!$G$5,0)</f>
        <v>0</v>
      </c>
      <c r="AF17" s="78">
        <f>ROUNDDOWN('INGRESOS AFILIACIONES'!AH14*'OTROS INGRESOS'!$G$5,0)</f>
        <v>0</v>
      </c>
      <c r="AG17" s="78">
        <f>ROUNDDOWN('INGRESOS AFILIACIONES'!AI14*'OTROS INGRESOS'!$G$5,0)</f>
        <v>0</v>
      </c>
      <c r="AH17" s="78">
        <f>ROUNDDOWN('INGRESOS AFILIACIONES'!AJ14*'OTROS INGRESOS'!$G$5,0)</f>
        <v>1</v>
      </c>
      <c r="AI17" s="78">
        <f>ROUNDDOWN('INGRESOS AFILIACIONES'!AK14*'OTROS INGRESOS'!$G$5,0)</f>
        <v>1</v>
      </c>
      <c r="AJ17" s="78">
        <f>ROUNDDOWN('INGRESOS AFILIACIONES'!AL14*'OTROS INGRESOS'!$G$5,0)</f>
        <v>1</v>
      </c>
      <c r="AK17" s="78">
        <f>ROUNDDOWN('INGRESOS AFILIACIONES'!AM14*'OTROS INGRESOS'!$G$5,0)</f>
        <v>1</v>
      </c>
      <c r="AL17" s="78">
        <f>ROUNDDOWN('INGRESOS AFILIACIONES'!AN14*'OTROS INGRESOS'!$G$5,0)</f>
        <v>0</v>
      </c>
      <c r="AM17" s="78">
        <f>ROUNDDOWN('INGRESOS AFILIACIONES'!AO14*'OTROS INGRESOS'!$G$5,0)</f>
        <v>0</v>
      </c>
      <c r="AN17" s="78">
        <f>ROUNDDOWN('INGRESOS AFILIACIONES'!AP14*'OTROS INGRESOS'!$G$5,0)</f>
        <v>1</v>
      </c>
      <c r="AO17" s="78">
        <f>ROUNDDOWN('INGRESOS AFILIACIONES'!AQ14*'OTROS INGRESOS'!$G$5,0)</f>
        <v>1</v>
      </c>
      <c r="AP17" s="78">
        <f>ROUNDDOWN('INGRESOS AFILIACIONES'!AR14*'OTROS INGRESOS'!$G$5,0)</f>
        <v>0</v>
      </c>
      <c r="AQ17" s="78">
        <f>ROUNDDOWN('INGRESOS AFILIACIONES'!AS14*'OTROS INGRESOS'!$G$5,0)</f>
        <v>0</v>
      </c>
      <c r="AR17" s="78">
        <f>ROUNDDOWN('INGRESOS AFILIACIONES'!AT14*'OTROS INGRESOS'!$G$5,0)</f>
        <v>0</v>
      </c>
      <c r="AS17" s="78">
        <f>ROUNDDOWN('INGRESOS AFILIACIONES'!AU14*'OTROS INGRESOS'!$G$5,0)</f>
        <v>0</v>
      </c>
      <c r="AT17" s="78">
        <f>ROUNDDOWN('INGRESOS AFILIACIONES'!AV14*'OTROS INGRESOS'!$G$5,0)</f>
        <v>1</v>
      </c>
      <c r="AU17" s="78">
        <f>ROUNDDOWN('INGRESOS AFILIACIONES'!AW14*'OTROS INGRESOS'!$G$5,0)</f>
        <v>1</v>
      </c>
      <c r="AV17" s="78">
        <f>ROUNDDOWN('INGRESOS AFILIACIONES'!AX14*'OTROS INGRESOS'!$G$5,0)</f>
        <v>1</v>
      </c>
      <c r="AW17" s="78">
        <f>ROUNDDOWN('INGRESOS AFILIACIONES'!AY14*'OTROS INGRESOS'!$G$5,0)</f>
        <v>1</v>
      </c>
      <c r="AX17" s="78">
        <f>ROUNDDOWN('INGRESOS AFILIACIONES'!AZ14*'OTROS INGRESOS'!$G$5,0)</f>
        <v>0</v>
      </c>
      <c r="AY17" s="78">
        <f>ROUNDDOWN('INGRESOS AFILIACIONES'!BA14*'OTROS INGRESOS'!$G$5,0)</f>
        <v>0</v>
      </c>
      <c r="AZ17" s="78">
        <f>ROUNDDOWN('INGRESOS AFILIACIONES'!BB14*'OTROS INGRESOS'!$G$5,0)</f>
        <v>1</v>
      </c>
      <c r="BA17" s="78">
        <f>ROUNDDOWN('INGRESOS AFILIACIONES'!BC14*'OTROS INGRESOS'!$G$5,0)</f>
        <v>1</v>
      </c>
      <c r="BB17" s="78">
        <f>ROUNDDOWN('INGRESOS AFILIACIONES'!BD14*'OTROS INGRESOS'!$G$5,0)</f>
        <v>1</v>
      </c>
      <c r="BC17" s="78">
        <f>ROUNDDOWN('INGRESOS AFILIACIONES'!BE14*'OTROS INGRESOS'!$G$5,0)</f>
        <v>0</v>
      </c>
      <c r="BD17" s="78">
        <f>ROUNDDOWN('INGRESOS AFILIACIONES'!BF14*'OTROS INGRESOS'!$G$5,0)</f>
        <v>0</v>
      </c>
      <c r="BE17" s="78">
        <f>ROUNDDOWN('INGRESOS AFILIACIONES'!BG14*'OTROS INGRESOS'!$G$5,0)</f>
        <v>0</v>
      </c>
      <c r="BF17" s="78">
        <f>ROUNDDOWN('INGRESOS AFILIACIONES'!BH14*'OTROS INGRESOS'!$G$5,0)</f>
        <v>1</v>
      </c>
      <c r="BG17" s="78">
        <f>ROUNDDOWN('INGRESOS AFILIACIONES'!BI14*'OTROS INGRESOS'!$G$5,0)</f>
        <v>1</v>
      </c>
      <c r="BH17" s="78">
        <f>ROUNDDOWN('INGRESOS AFILIACIONES'!BJ14*'OTROS INGRESOS'!$G$5,0)</f>
        <v>1</v>
      </c>
      <c r="BI17" s="78">
        <f>ROUNDDOWN('INGRESOS AFILIACIONES'!BK14*'OTROS INGRESOS'!$G$5,0)</f>
        <v>1</v>
      </c>
      <c r="BJ17" s="78">
        <f>ROUNDDOWN('INGRESOS AFILIACIONES'!BL14*'OTROS INGRESOS'!$G$5,0)</f>
        <v>1</v>
      </c>
      <c r="BK17" s="78">
        <f>ROUNDDOWN('INGRESOS AFILIACIONES'!BM14*'OTROS INGRESOS'!$G$5,0)</f>
        <v>0</v>
      </c>
      <c r="BL17" s="78">
        <f>ROUNDDOWN('INGRESOS AFILIACIONES'!BN14*'OTROS INGRESOS'!$G$5,0)</f>
        <v>1</v>
      </c>
      <c r="BM17" s="78">
        <f>ROUNDDOWN('INGRESOS AFILIACIONES'!BO14*'OTROS INGRESOS'!$G$5,0)</f>
        <v>1</v>
      </c>
      <c r="BN17" s="78">
        <f>ROUNDDOWN('INGRESOS AFILIACIONES'!BP14*'OTROS INGRESOS'!$G$5,0)</f>
        <v>1</v>
      </c>
      <c r="BO17" s="78">
        <f>ROUNDDOWN('INGRESOS AFILIACIONES'!BQ14*'OTROS INGRESOS'!$G$5,0)</f>
        <v>0</v>
      </c>
      <c r="BP17" s="78">
        <f>ROUNDDOWN('INGRESOS AFILIACIONES'!BR14*'OTROS INGRESOS'!$G$5,0)</f>
        <v>0</v>
      </c>
      <c r="BQ17" s="78">
        <f>ROUNDDOWN('INGRESOS AFILIACIONES'!BS14*'OTROS INGRESOS'!$G$5,0)</f>
        <v>1</v>
      </c>
      <c r="BR17" s="78">
        <f>ROUNDDOWN('INGRESOS AFILIACIONES'!BT14*'OTROS INGRESOS'!$G$5,0)</f>
        <v>1</v>
      </c>
      <c r="BS17" s="78">
        <f>ROUNDDOWN('INGRESOS AFILIACIONES'!BU14*'OTROS INGRESOS'!$G$5,0)</f>
        <v>1</v>
      </c>
      <c r="BT17" s="78">
        <f>ROUNDDOWN('INGRESOS AFILIACIONES'!BV14*'OTROS INGRESOS'!$G$5,0)</f>
        <v>1</v>
      </c>
      <c r="BU17" s="78">
        <f>ROUNDDOWN('INGRESOS AFILIACIONES'!BW14*'OTROS INGRESOS'!$G$5,0)</f>
        <v>1</v>
      </c>
      <c r="BV17" s="78">
        <f>ROUNDDOWN('INGRESOS AFILIACIONES'!BX14*'OTROS INGRESOS'!$G$5,0)</f>
        <v>1</v>
      </c>
      <c r="BW17" s="78">
        <f>ROUNDDOWN('INGRESOS AFILIACIONES'!BY14*'OTROS INGRESOS'!$G$5,0)</f>
        <v>1</v>
      </c>
      <c r="BX17" s="78">
        <f>ROUNDDOWN('INGRESOS AFILIACIONES'!BZ14*'OTROS INGRESOS'!$G$5,0)</f>
        <v>1</v>
      </c>
      <c r="BY17" s="78">
        <f>ROUNDDOWN('INGRESOS AFILIACIONES'!CA14*'OTROS INGRESOS'!$G$5,0)</f>
        <v>1</v>
      </c>
      <c r="BZ17" s="78">
        <f>ROUNDDOWN('INGRESOS AFILIACIONES'!CB14*'OTROS INGRESOS'!$G$5,0)</f>
        <v>1</v>
      </c>
      <c r="CA17" s="78">
        <f>ROUNDDOWN('INGRESOS AFILIACIONES'!CC14*'OTROS INGRESOS'!$G$5,0)</f>
        <v>0</v>
      </c>
      <c r="CB17" s="78">
        <f>ROUNDDOWN('INGRESOS AFILIACIONES'!CD14*'OTROS INGRESOS'!$G$5,0)</f>
        <v>0</v>
      </c>
      <c r="CC17" s="78">
        <f>ROUNDDOWN('INGRESOS AFILIACIONES'!CE14*'OTROS INGRESOS'!$G$5,0)</f>
        <v>1</v>
      </c>
      <c r="CD17" s="78">
        <f>ROUNDDOWN('INGRESOS AFILIACIONES'!CF14*'OTROS INGRESOS'!$G$5,0)</f>
        <v>1</v>
      </c>
      <c r="CE17" s="78">
        <f>ROUNDDOWN('INGRESOS AFILIACIONES'!CG14*'OTROS INGRESOS'!$G$5,0)</f>
        <v>1</v>
      </c>
      <c r="CF17" s="78">
        <f>ROUNDDOWN('INGRESOS AFILIACIONES'!CH14*'OTROS INGRESOS'!$G$5,0)</f>
        <v>1</v>
      </c>
      <c r="CG17" s="78">
        <f>ROUNDDOWN('INGRESOS AFILIACIONES'!CI14*'OTROS INGRESOS'!$G$5,0)</f>
        <v>1</v>
      </c>
      <c r="CH17" s="78">
        <f>ROUNDDOWN('INGRESOS AFILIACIONES'!CJ14*'OTROS INGRESOS'!$G$5,0)</f>
        <v>1</v>
      </c>
      <c r="CI17" s="78">
        <f>ROUNDDOWN('INGRESOS AFILIACIONES'!CK14*'OTROS INGRESOS'!$G$5,0)</f>
        <v>1</v>
      </c>
      <c r="CJ17" s="78">
        <f>ROUNDDOWN('INGRESOS AFILIACIONES'!CL14*'OTROS INGRESOS'!$G$5,0)</f>
        <v>1</v>
      </c>
      <c r="CK17" s="78">
        <f>ROUNDDOWN('INGRESOS AFILIACIONES'!CM14*'OTROS INGRESOS'!$G$5,0)</f>
        <v>1</v>
      </c>
      <c r="CL17" s="78">
        <f>ROUNDDOWN('INGRESOS AFILIACIONES'!CN14*'OTROS INGRESOS'!$G$5,0)</f>
        <v>1</v>
      </c>
      <c r="CM17" s="78">
        <f>ROUNDDOWN('INGRESOS AFILIACIONES'!CO14*'OTROS INGRESOS'!$G$5,0)</f>
        <v>0</v>
      </c>
      <c r="CN17" s="78">
        <f>ROUNDDOWN('INGRESOS AFILIACIONES'!CP14*'OTROS INGRESOS'!$G$5,0)</f>
        <v>0</v>
      </c>
      <c r="CO17" s="78">
        <f>ROUNDDOWN('INGRESOS AFILIACIONES'!CQ14*'OTROS INGRESOS'!$G$5,0)</f>
        <v>1</v>
      </c>
      <c r="CP17" s="78">
        <f>ROUNDDOWN('INGRESOS AFILIACIONES'!CR14*'OTROS INGRESOS'!$G$5,0)</f>
        <v>1</v>
      </c>
      <c r="CQ17" s="78">
        <f>ROUNDDOWN('INGRESOS AFILIACIONES'!CS14*'OTROS INGRESOS'!$G$5,0)</f>
        <v>1</v>
      </c>
      <c r="CR17" s="78">
        <f>ROUNDDOWN('INGRESOS AFILIACIONES'!CT14*'OTROS INGRESOS'!$G$5,0)</f>
        <v>1</v>
      </c>
      <c r="CS17" s="78">
        <f>ROUNDDOWN('INGRESOS AFILIACIONES'!CU14*'OTROS INGRESOS'!$G$5,0)</f>
        <v>1</v>
      </c>
      <c r="CT17" s="78">
        <f>ROUNDDOWN('INGRESOS AFILIACIONES'!CV14*'OTROS INGRESOS'!$G$5,0)</f>
        <v>1</v>
      </c>
      <c r="CU17" s="78">
        <f>ROUNDDOWN('INGRESOS AFILIACIONES'!CW14*'OTROS INGRESOS'!$G$5,0)</f>
        <v>1</v>
      </c>
      <c r="CV17" s="78">
        <f>ROUNDDOWN('INGRESOS AFILIACIONES'!CX14*'OTROS INGRESOS'!$G$5,0)</f>
        <v>1</v>
      </c>
      <c r="CW17" s="78">
        <f>ROUNDDOWN('INGRESOS AFILIACIONES'!CY14*'OTROS INGRESOS'!$G$5,0)</f>
        <v>1</v>
      </c>
      <c r="CX17" s="78">
        <f>ROUNDDOWN('INGRESOS AFILIACIONES'!CZ14*'OTROS INGRESOS'!$G$5,0)</f>
        <v>1</v>
      </c>
      <c r="CY17" s="78">
        <f>ROUNDDOWN('INGRESOS AFILIACIONES'!DA14*'OTROS INGRESOS'!$G$5,0)</f>
        <v>1</v>
      </c>
      <c r="CZ17" s="78">
        <f>ROUNDDOWN('INGRESOS AFILIACIONES'!DB14*'OTROS INGRESOS'!$G$5,0)</f>
        <v>1</v>
      </c>
      <c r="DA17" s="78">
        <f>ROUNDDOWN('INGRESOS AFILIACIONES'!DC14*'OTROS INGRESOS'!$G$5,0)</f>
        <v>1</v>
      </c>
      <c r="DB17" s="78">
        <f>ROUNDDOWN('INGRESOS AFILIACIONES'!DD14*'OTROS INGRESOS'!$G$5,0)</f>
        <v>1</v>
      </c>
      <c r="DC17" s="78">
        <f>ROUNDDOWN('INGRESOS AFILIACIONES'!DE14*'OTROS INGRESOS'!$G$5,0)</f>
        <v>1</v>
      </c>
      <c r="DD17" s="78">
        <f>ROUNDDOWN('INGRESOS AFILIACIONES'!DF14*'OTROS INGRESOS'!$G$5,0)</f>
        <v>1</v>
      </c>
      <c r="DE17" s="78">
        <f>ROUNDDOWN('INGRESOS AFILIACIONES'!DG14*'OTROS INGRESOS'!$G$5,0)</f>
        <v>1</v>
      </c>
      <c r="DF17" s="78">
        <f>ROUNDDOWN('INGRESOS AFILIACIONES'!DH14*'OTROS INGRESOS'!$G$5,0)</f>
        <v>1</v>
      </c>
      <c r="DG17" s="78">
        <f>ROUNDDOWN('INGRESOS AFILIACIONES'!DI14*'OTROS INGRESOS'!$G$5,0)</f>
        <v>1</v>
      </c>
      <c r="DH17" s="78">
        <f>ROUNDDOWN('INGRESOS AFILIACIONES'!DJ14*'OTROS INGRESOS'!$G$5,0)</f>
        <v>2</v>
      </c>
      <c r="DI17" s="78">
        <f>ROUNDDOWN('INGRESOS AFILIACIONES'!DK14*'OTROS INGRESOS'!$G$5,0)</f>
        <v>1</v>
      </c>
      <c r="DJ17" s="78">
        <f>ROUNDDOWN('INGRESOS AFILIACIONES'!DL14*'OTROS INGRESOS'!$G$5,0)</f>
        <v>1</v>
      </c>
      <c r="DK17" s="78">
        <f>ROUNDDOWN('INGRESOS AFILIACIONES'!DM14*'OTROS INGRESOS'!$G$5,0)</f>
        <v>1</v>
      </c>
      <c r="DL17" s="78">
        <f>ROUNDDOWN('INGRESOS AFILIACIONES'!DN14*'OTROS INGRESOS'!$G$5,0)</f>
        <v>1</v>
      </c>
      <c r="DM17" s="78">
        <f>ROUNDDOWN('INGRESOS AFILIACIONES'!DO14*'OTROS INGRESOS'!$G$5,0)</f>
        <v>1</v>
      </c>
      <c r="DN17" s="78">
        <f>ROUNDDOWN('INGRESOS AFILIACIONES'!DP14*'OTROS INGRESOS'!$G$5,0)</f>
        <v>1</v>
      </c>
      <c r="DO17" s="78">
        <f>ROUNDDOWN('INGRESOS AFILIACIONES'!DQ14*'OTROS INGRESOS'!$G$5,0)</f>
        <v>1</v>
      </c>
      <c r="DP17" s="78">
        <f>ROUNDDOWN('INGRESOS AFILIACIONES'!DR14*'OTROS INGRESOS'!$G$5,0)</f>
        <v>1</v>
      </c>
      <c r="DQ17" s="78">
        <f>ROUNDDOWN('INGRESOS AFILIACIONES'!DS14*'OTROS INGRESOS'!$G$5,0)</f>
        <v>1</v>
      </c>
      <c r="DR17" s="78">
        <f>ROUNDDOWN('INGRESOS AFILIACIONES'!DT14*'OTROS INGRESOS'!$G$5,0)</f>
        <v>1</v>
      </c>
      <c r="DS17" s="78">
        <f>ROUNDDOWN('INGRESOS AFILIACIONES'!DU14*'OTROS INGRESOS'!$G$5,0)</f>
        <v>1</v>
      </c>
    </row>
    <row r="18" spans="3:123" x14ac:dyDescent="0.25">
      <c r="C18" s="536" t="s">
        <v>114</v>
      </c>
      <c r="D18" s="78">
        <f>IF(SUM(D16:D17)&lt;$E$9-'INGRESOS AFILIACIONES'!F28,SUM(D16:D17),$E$9-'INGRESOS AFILIACIONES'!F28)</f>
        <v>2</v>
      </c>
      <c r="E18" s="78">
        <f>IF(SUM(E16:E17)&lt;$E$9-'INGRESOS AFILIACIONES'!G28,SUM(E16:E17),$E$9-'INGRESOS AFILIACIONES'!G28)</f>
        <v>2</v>
      </c>
      <c r="F18" s="78">
        <f>IF(SUM(F16:F17)&lt;$E$9-'INGRESOS AFILIACIONES'!H28,SUM(F16:F17),$E$9-'INGRESOS AFILIACIONES'!H28)</f>
        <v>3</v>
      </c>
      <c r="G18" s="78">
        <f>IF(SUM(G16:G17)&lt;$E$9-'INGRESOS AFILIACIONES'!I28,SUM(G16:G17),$E$9-'INGRESOS AFILIACIONES'!I28)</f>
        <v>2</v>
      </c>
      <c r="H18" s="78">
        <f>IF(SUM(H16:H17)&lt;$E$9-'INGRESOS AFILIACIONES'!J28,SUM(H16:H17),$E$9-'INGRESOS AFILIACIONES'!J28)</f>
        <v>2</v>
      </c>
      <c r="I18" s="78">
        <f>IF(SUM(I16:I17)&lt;$E$9-'INGRESOS AFILIACIONES'!K28,SUM(I16:I17),$E$9-'INGRESOS AFILIACIONES'!K28)</f>
        <v>2</v>
      </c>
      <c r="J18" s="78">
        <f>IF(SUM(J16:J17)&lt;$E$9-'INGRESOS AFILIACIONES'!L28,SUM(J16:J17),$E$9-'INGRESOS AFILIACIONES'!L28)</f>
        <v>3</v>
      </c>
      <c r="K18" s="78">
        <f>IF(SUM(K16:K17)&lt;$E$9-'INGRESOS AFILIACIONES'!M28,SUM(K16:K17),$E$9-'INGRESOS AFILIACIONES'!M28)</f>
        <v>3</v>
      </c>
      <c r="L18" s="78">
        <f>IF(SUM(L16:L17)&lt;$E$9-'INGRESOS AFILIACIONES'!N28,SUM(L16:L17),$E$9-'INGRESOS AFILIACIONES'!N28)</f>
        <v>3</v>
      </c>
      <c r="M18" s="78">
        <f>IF(SUM(M16:M17)&lt;$E$9-'INGRESOS AFILIACIONES'!O28,SUM(M16:M17),$E$9-'INGRESOS AFILIACIONES'!O28)</f>
        <v>3</v>
      </c>
      <c r="N18" s="78">
        <f>IF(SUM(N16:N17)&lt;$E$9-'INGRESOS AFILIACIONES'!P28,SUM(N16:N17),$E$9-'INGRESOS AFILIACIONES'!P28)</f>
        <v>3</v>
      </c>
      <c r="O18" s="78">
        <f>IF(SUM(O16:O17)&lt;$E$9-'INGRESOS AFILIACIONES'!Q28,SUM(O16:O17),$E$9-'INGRESOS AFILIACIONES'!Q28)</f>
        <v>2</v>
      </c>
      <c r="P18" s="78">
        <f>IF(SUM(P16:P17)&lt;$E$9-'INGRESOS AFILIACIONES'!R28,SUM(P16:P17),$E$9-'INGRESOS AFILIACIONES'!R28)</f>
        <v>5</v>
      </c>
      <c r="Q18" s="78">
        <f>IF(SUM(Q16:Q17)&lt;$E$9-'INGRESOS AFILIACIONES'!S28,SUM(Q16:Q17),$E$9-'INGRESOS AFILIACIONES'!S28)</f>
        <v>4</v>
      </c>
      <c r="R18" s="78">
        <f>IF(SUM(R16:R17)&lt;$E$9-'INGRESOS AFILIACIONES'!T28,SUM(R16:R17),$E$9-'INGRESOS AFILIACIONES'!T28)</f>
        <v>2</v>
      </c>
      <c r="S18" s="78">
        <f>IF(SUM(S16:S17)&lt;$E$9-'INGRESOS AFILIACIONES'!U28,SUM(S16:S17),$E$9-'INGRESOS AFILIACIONES'!U28)</f>
        <v>2</v>
      </c>
      <c r="T18" s="78">
        <f>IF(SUM(T16:T17)&lt;$E$9-'INGRESOS AFILIACIONES'!V28,SUM(T16:T17),$E$9-'INGRESOS AFILIACIONES'!V28)</f>
        <v>2</v>
      </c>
      <c r="U18" s="78">
        <f>IF(SUM(U16:U17)&lt;$E$9-'INGRESOS AFILIACIONES'!W28,SUM(U16:U17),$E$9-'INGRESOS AFILIACIONES'!W28)</f>
        <v>2</v>
      </c>
      <c r="V18" s="78">
        <f>IF(SUM(V16:V17)&lt;$E$9-'INGRESOS AFILIACIONES'!X28,SUM(V16:V17),$E$9-'INGRESOS AFILIACIONES'!X28)</f>
        <v>3</v>
      </c>
      <c r="W18" s="78">
        <f>IF(SUM(W16:W17)&lt;$E$9-'INGRESOS AFILIACIONES'!Y28,SUM(W16:W17),$E$9-'INGRESOS AFILIACIONES'!Y28)</f>
        <v>3</v>
      </c>
      <c r="X18" s="78">
        <f>IF(SUM(X16:X17)&lt;$E$9-'INGRESOS AFILIACIONES'!Z28,SUM(X16:X17),$E$9-'INGRESOS AFILIACIONES'!Z28)</f>
        <v>4</v>
      </c>
      <c r="Y18" s="78">
        <f>IF(SUM(Y16:Y17)&lt;$E$9-'INGRESOS AFILIACIONES'!AA28,SUM(Y16:Y17),$E$9-'INGRESOS AFILIACIONES'!AA28)</f>
        <v>3</v>
      </c>
      <c r="Z18" s="78">
        <f>IF(SUM(Z16:Z17)&lt;$E$9-'INGRESOS AFILIACIONES'!AB28,SUM(Z16:Z17),$E$9-'INGRESOS AFILIACIONES'!AB28)</f>
        <v>2</v>
      </c>
      <c r="AA18" s="78">
        <f>IF(SUM(AA16:AA17)&lt;$E$9-'INGRESOS AFILIACIONES'!AC28,SUM(AA16:AA17),$E$9-'INGRESOS AFILIACIONES'!AC28)</f>
        <v>2</v>
      </c>
      <c r="AB18" s="78">
        <f>IF(SUM(AB16:AB17)&lt;$E$9-'INGRESOS AFILIACIONES'!AD28,SUM(AB16:AB17),$E$9-'INGRESOS AFILIACIONES'!AD28)</f>
        <v>5</v>
      </c>
      <c r="AC18" s="78">
        <f>IF(SUM(AC16:AC17)&lt;$E$9-'INGRESOS AFILIACIONES'!AE28,SUM(AC16:AC17),$E$9-'INGRESOS AFILIACIONES'!AE28)</f>
        <v>4</v>
      </c>
      <c r="AD18" s="78">
        <f>IF(SUM(AD16:AD17)&lt;$E$9-'INGRESOS AFILIACIONES'!AF28,SUM(AD16:AD17),$E$9-'INGRESOS AFILIACIONES'!AF28)</f>
        <v>3</v>
      </c>
      <c r="AE18" s="78">
        <f>IF(SUM(AE16:AE17)&lt;$E$9-'INGRESOS AFILIACIONES'!AG28,SUM(AE16:AE17),$E$9-'INGRESOS AFILIACIONES'!AG28)</f>
        <v>2</v>
      </c>
      <c r="AF18" s="78">
        <f>IF(SUM(AF16:AF17)&lt;$E$9-'INGRESOS AFILIACIONES'!AH28,SUM(AF16:AF17),$E$9-'INGRESOS AFILIACIONES'!AH28)</f>
        <v>2</v>
      </c>
      <c r="AG18" s="78">
        <f>IF(SUM(AG16:AG17)&lt;$E$9-'INGRESOS AFILIACIONES'!AI28,SUM(AG16:AG17),$E$9-'INGRESOS AFILIACIONES'!AI28)</f>
        <v>3</v>
      </c>
      <c r="AH18" s="78">
        <f>IF(SUM(AH16:AH17)&lt;$E$9-'INGRESOS AFILIACIONES'!AJ28,SUM(AH16:AH17),$E$9-'INGRESOS AFILIACIONES'!AJ28)</f>
        <v>4</v>
      </c>
      <c r="AI18" s="78">
        <f>IF(SUM(AI16:AI17)&lt;$E$9-'INGRESOS AFILIACIONES'!AK28,SUM(AI16:AI17),$E$9-'INGRESOS AFILIACIONES'!AK28)</f>
        <v>4</v>
      </c>
      <c r="AJ18" s="78">
        <f>IF(SUM(AJ16:AJ17)&lt;$E$9-'INGRESOS AFILIACIONES'!AL28,SUM(AJ16:AJ17),$E$9-'INGRESOS AFILIACIONES'!AL28)</f>
        <v>4</v>
      </c>
      <c r="AK18" s="78">
        <f>IF(SUM(AK16:AK17)&lt;$E$9-'INGRESOS AFILIACIONES'!AM28,SUM(AK16:AK17),$E$9-'INGRESOS AFILIACIONES'!AM28)</f>
        <v>4</v>
      </c>
      <c r="AL18" s="78">
        <f>IF(SUM(AL16:AL17)&lt;$E$9-'INGRESOS AFILIACIONES'!AN28,SUM(AL16:AL17),$E$9-'INGRESOS AFILIACIONES'!AN28)</f>
        <v>3</v>
      </c>
      <c r="AM18" s="78">
        <f>IF(SUM(AM16:AM17)&lt;$E$9-'INGRESOS AFILIACIONES'!AO28,SUM(AM16:AM17),$E$9-'INGRESOS AFILIACIONES'!AO28)</f>
        <v>2</v>
      </c>
      <c r="AN18" s="78">
        <f>IF(SUM(AN16:AN17)&lt;$F$9-'INGRESOS AFILIACIONES'!AP28,SUM(AN16:AN17),$F$9-'INGRESOS AFILIACIONES'!AP28)</f>
        <v>5</v>
      </c>
      <c r="AO18" s="78">
        <f>IF(SUM(AO16:AO17)&lt;$F$9-'INGRESOS AFILIACIONES'!AQ28,SUM(AO16:AO17),$F$9-'INGRESOS AFILIACIONES'!AQ28)</f>
        <v>5</v>
      </c>
      <c r="AP18" s="78">
        <f>IF(SUM(AP16:AP17)&lt;$F$9-'INGRESOS AFILIACIONES'!AR28,SUM(AP16:AP17),$F$9-'INGRESOS AFILIACIONES'!AR28)</f>
        <v>3</v>
      </c>
      <c r="AQ18" s="78">
        <f>IF(SUM(AQ16:AQ17)&lt;$F$9-'INGRESOS AFILIACIONES'!AS28,SUM(AQ16:AQ17),$F$9-'INGRESOS AFILIACIONES'!AS28)</f>
        <v>2</v>
      </c>
      <c r="AR18" s="78">
        <f>IF(SUM(AR16:AR17)&lt;$F$9-'INGRESOS AFILIACIONES'!AT28,SUM(AR16:AR17),$F$9-'INGRESOS AFILIACIONES'!AT28)</f>
        <v>2</v>
      </c>
      <c r="AS18" s="78">
        <f>IF(SUM(AS16:AS17)&lt;$F$9-'INGRESOS AFILIACIONES'!AU28,SUM(AS16:AS17),$F$9-'INGRESOS AFILIACIONES'!AU28)</f>
        <v>3</v>
      </c>
      <c r="AT18" s="78">
        <f>IF(SUM(AT16:AT17)&lt;$F$9-'INGRESOS AFILIACIONES'!AV28,SUM(AT16:AT17),$F$9-'INGRESOS AFILIACIONES'!AV28)</f>
        <v>4</v>
      </c>
      <c r="AU18" s="78">
        <f>IF(SUM(AU16:AU17)&lt;$F$9-'INGRESOS AFILIACIONES'!AW28,SUM(AU16:AU17),$F$9-'INGRESOS AFILIACIONES'!AW28)</f>
        <v>5</v>
      </c>
      <c r="AV18" s="78">
        <f>IF(SUM(AV16:AV17)&lt;$F$9-'INGRESOS AFILIACIONES'!AX28,SUM(AV16:AV17),$F$9-'INGRESOS AFILIACIONES'!AX28)</f>
        <v>5</v>
      </c>
      <c r="AW18" s="78">
        <f>IF(SUM(AW16:AW17)&lt;$F$9-'INGRESOS AFILIACIONES'!AY28,SUM(AW16:AW17),$F$9-'INGRESOS AFILIACIONES'!AY28)</f>
        <v>4</v>
      </c>
      <c r="AX18" s="78">
        <f>IF(SUM(AX16:AX17)&lt;$F$9-'INGRESOS AFILIACIONES'!AZ28,SUM(AX16:AX17),$F$9-'INGRESOS AFILIACIONES'!AZ28)</f>
        <v>3</v>
      </c>
      <c r="AY18" s="78">
        <f>IF(SUM(AY16:AY17)&lt;$F$9-'INGRESOS AFILIACIONES'!BA28,SUM(AY16:AY17),$F$9-'INGRESOS AFILIACIONES'!BA28)</f>
        <v>3</v>
      </c>
      <c r="AZ18" s="78">
        <f>IF(SUM(AZ16:AZ17)&lt;$F$9-'INGRESOS AFILIACIONES'!BB28,SUM(AZ16:AZ17),$F$9-'INGRESOS AFILIACIONES'!BB28)</f>
        <v>6</v>
      </c>
      <c r="BA18" s="78">
        <f>IF(SUM(BA16:BA17)&lt;$F$9-'INGRESOS AFILIACIONES'!BC28,SUM(BA16:BA17),$F$9-'INGRESOS AFILIACIONES'!BC28)</f>
        <v>5</v>
      </c>
      <c r="BB18" s="78">
        <f>IF(SUM(BB16:BB17)&lt;$F$9-'INGRESOS AFILIACIONES'!BD28,SUM(BB16:BB17),$F$9-'INGRESOS AFILIACIONES'!BD28)</f>
        <v>4</v>
      </c>
      <c r="BC18" s="78">
        <f>IF(SUM(BC16:BC17)&lt;$F$9-'INGRESOS AFILIACIONES'!BE28,SUM(BC16:BC17),$F$9-'INGRESOS AFILIACIONES'!BE28)</f>
        <v>2</v>
      </c>
      <c r="BD18" s="78">
        <f>IF(SUM(BD16:BD17)&lt;$F$9-'INGRESOS AFILIACIONES'!BF28,SUM(BD16:BD17),$F$9-'INGRESOS AFILIACIONES'!BF28)</f>
        <v>2</v>
      </c>
      <c r="BE18" s="78">
        <f>IF(SUM(BE16:BE17)&lt;$F$9-'INGRESOS AFILIACIONES'!BG28,SUM(BE16:BE17),$F$9-'INGRESOS AFILIACIONES'!BG28)</f>
        <v>3</v>
      </c>
      <c r="BF18" s="78">
        <f>IF(SUM(BF16:BF17)&lt;$F$9-'INGRESOS AFILIACIONES'!BH28,SUM(BF16:BF17),$F$9-'INGRESOS AFILIACIONES'!BH28)</f>
        <v>5</v>
      </c>
      <c r="BG18" s="78">
        <f>IF(SUM(BG16:BG17)&lt;$F$9-'INGRESOS AFILIACIONES'!BI28,SUM(BG16:BG17),$F$9-'INGRESOS AFILIACIONES'!BI28)</f>
        <v>5</v>
      </c>
      <c r="BH18" s="78">
        <f>IF(SUM(BH16:BH17)&lt;$F$9-'INGRESOS AFILIACIONES'!BJ28,SUM(BH16:BH17),$F$9-'INGRESOS AFILIACIONES'!BJ28)</f>
        <v>5</v>
      </c>
      <c r="BI18" s="78">
        <f>IF(SUM(BI16:BI17)&lt;$F$9-'INGRESOS AFILIACIONES'!BK28,SUM(BI16:BI17),$F$9-'INGRESOS AFILIACIONES'!BK28)</f>
        <v>5</v>
      </c>
      <c r="BJ18" s="78">
        <f>IF(SUM(BJ16:BJ17)&lt;$F$9-'INGRESOS AFILIACIONES'!BL28,SUM(BJ16:BJ17),$F$9-'INGRESOS AFILIACIONES'!BL28)</f>
        <v>4</v>
      </c>
      <c r="BK18" s="78">
        <f>IF(SUM(BK16:BK17)&lt;$F$9-'INGRESOS AFILIACIONES'!BM28,SUM(BK16:BK17),$F$9-'INGRESOS AFILIACIONES'!BM28)</f>
        <v>3</v>
      </c>
      <c r="BL18" s="78">
        <f>IF(SUM(BL16:BL17)&lt;$F$9-'INGRESOS AFILIACIONES'!BN28,SUM(BL16:BL17),$F$9-'INGRESOS AFILIACIONES'!BN28)</f>
        <v>6</v>
      </c>
      <c r="BM18" s="78">
        <f>IF(SUM(BM16:BM17)&lt;$F$9-'INGRESOS AFILIACIONES'!BO28,SUM(BM16:BM17),$F$9-'INGRESOS AFILIACIONES'!BO28)</f>
        <v>5</v>
      </c>
      <c r="BN18" s="78">
        <f>IF(SUM(BN16:BN17)&lt;$F$9-'INGRESOS AFILIACIONES'!BP28,SUM(BN16:BN17),$F$9-'INGRESOS AFILIACIONES'!BP28)</f>
        <v>4</v>
      </c>
      <c r="BO18" s="78">
        <f>IF(SUM(BO16:BO17)&lt;$F$9-'INGRESOS AFILIACIONES'!BQ28,SUM(BO16:BO17),$F$9-'INGRESOS AFILIACIONES'!BQ28)</f>
        <v>2</v>
      </c>
      <c r="BP18" s="78">
        <f>IF(SUM(BP16:BP17)&lt;$F$9-'INGRESOS AFILIACIONES'!BR28,SUM(BP16:BP17),$F$9-'INGRESOS AFILIACIONES'!BR28)</f>
        <v>2</v>
      </c>
      <c r="BQ18" s="78">
        <f>IF(SUM(BQ16:BQ17)&lt;$F$9-'INGRESOS AFILIACIONES'!BS28,SUM(BQ16:BQ17),$F$9-'INGRESOS AFILIACIONES'!BS28)</f>
        <v>4</v>
      </c>
      <c r="BR18" s="78">
        <f>IF(SUM(BR16:BR17)&lt;$F$9-'INGRESOS AFILIACIONES'!BT28,SUM(BR16:BR17),$F$9-'INGRESOS AFILIACIONES'!BT28)</f>
        <v>5</v>
      </c>
      <c r="BS18" s="78">
        <f>IF(SUM(BS16:BS17)&lt;$F$9-'INGRESOS AFILIACIONES'!BU28,SUM(BS16:BS17),$F$9-'INGRESOS AFILIACIONES'!BU28)</f>
        <v>5</v>
      </c>
      <c r="BT18" s="78">
        <f>IF(SUM(BT16:BT17)&lt;$F$9-'INGRESOS AFILIACIONES'!BV28,SUM(BT16:BT17),$F$9-'INGRESOS AFILIACIONES'!BV28)</f>
        <v>5</v>
      </c>
      <c r="BU18" s="78">
        <f>IF(SUM(BU16:BU17)&lt;$F$9-'INGRESOS AFILIACIONES'!BW28,SUM(BU16:BU17),$F$9-'INGRESOS AFILIACIONES'!BW28)</f>
        <v>5</v>
      </c>
      <c r="BV18" s="78">
        <f>IF(SUM(BV16:BV17)&lt;$F$9-'INGRESOS AFILIACIONES'!BX28,SUM(BV16:BV17),$F$9-'INGRESOS AFILIACIONES'!BX28)</f>
        <v>4</v>
      </c>
      <c r="BW18" s="78">
        <f>IF(SUM(BW16:BW17)&lt;$F$9-'INGRESOS AFILIACIONES'!BY28,SUM(BW16:BW17),$F$9-'INGRESOS AFILIACIONES'!BY28)</f>
        <v>4</v>
      </c>
      <c r="BX18" s="78">
        <f>IF(SUM(BX16:BX17)&lt;$G$9-'INGRESOS AFILIACIONES'!BZ28,SUM(BX16:BX17),$G$9-'INGRESOS AFILIACIONES'!BZ28)</f>
        <v>6</v>
      </c>
      <c r="BY18" s="78">
        <f>IF(SUM(BY16:BY17)&lt;$G$9-'INGRESOS AFILIACIONES'!CA28,SUM(BY16:BY17),$G$9-'INGRESOS AFILIACIONES'!CA28)</f>
        <v>6</v>
      </c>
      <c r="BZ18" s="78">
        <f>IF(SUM(BZ16:BZ17)&lt;$G$9-'INGRESOS AFILIACIONES'!CB28,SUM(BZ16:BZ17),$G$9-'INGRESOS AFILIACIONES'!CB28)</f>
        <v>5</v>
      </c>
      <c r="CA18" s="78">
        <f>IF(SUM(CA16:CA17)&lt;$G$9-'INGRESOS AFILIACIONES'!CC28,SUM(CA16:CA17),$G$9-'INGRESOS AFILIACIONES'!CC28)</f>
        <v>3</v>
      </c>
      <c r="CB18" s="78">
        <f>IF(SUM(CB16:CB17)&lt;$G$9-'INGRESOS AFILIACIONES'!CD28,SUM(CB16:CB17),$G$9-'INGRESOS AFILIACIONES'!CD28)</f>
        <v>3</v>
      </c>
      <c r="CC18" s="78">
        <f>IF(SUM(CC16:CC17)&lt;$G$9-'INGRESOS AFILIACIONES'!CE28,SUM(CC16:CC17),$G$9-'INGRESOS AFILIACIONES'!CE28)</f>
        <v>4</v>
      </c>
      <c r="CD18" s="78">
        <f>IF(SUM(CD16:CD17)&lt;$G$9-'INGRESOS AFILIACIONES'!CF28,SUM(CD16:CD17),$G$9-'INGRESOS AFILIACIONES'!CF28)</f>
        <v>5</v>
      </c>
      <c r="CE18" s="78">
        <f>IF(SUM(CE16:CE17)&lt;$G$9-'INGRESOS AFILIACIONES'!CG28,SUM(CE16:CE17),$G$9-'INGRESOS AFILIACIONES'!CG28)</f>
        <v>5</v>
      </c>
      <c r="CF18" s="78">
        <f>IF(SUM(CF16:CF17)&lt;$G$9-'INGRESOS AFILIACIONES'!CH28,SUM(CF16:CF17),$G$9-'INGRESOS AFILIACIONES'!CH28)</f>
        <v>6</v>
      </c>
      <c r="CG18" s="78">
        <f>IF(SUM(CG16:CG17)&lt;$G$9-'INGRESOS AFILIACIONES'!CI28,SUM(CG16:CG17),$G$9-'INGRESOS AFILIACIONES'!CI28)</f>
        <v>5</v>
      </c>
      <c r="CH18" s="78">
        <f>IF(SUM(CH16:CH17)&lt;$G$9-'INGRESOS AFILIACIONES'!CJ28,SUM(CH16:CH17),$G$9-'INGRESOS AFILIACIONES'!CJ28)</f>
        <v>5</v>
      </c>
      <c r="CI18" s="78">
        <f>IF(SUM(CI16:CI17)&lt;$G$9-'INGRESOS AFILIACIONES'!CK28,SUM(CI16:CI17),$G$9-'INGRESOS AFILIACIONES'!CK28)</f>
        <v>4</v>
      </c>
      <c r="CJ18" s="78">
        <f>IF(SUM(CJ16:CJ17)&lt;$G$9-'INGRESOS AFILIACIONES'!CL28,SUM(CJ16:CJ17),$G$9-'INGRESOS AFILIACIONES'!CL28)</f>
        <v>7</v>
      </c>
      <c r="CK18" s="78">
        <f>IF(SUM(CK16:CK17)&lt;$G$9-'INGRESOS AFILIACIONES'!CM28,SUM(CK16:CK17),$G$9-'INGRESOS AFILIACIONES'!CM28)</f>
        <v>6</v>
      </c>
      <c r="CL18" s="78">
        <f>IF(SUM(CL16:CL17)&lt;$G$9-'INGRESOS AFILIACIONES'!CN28,SUM(CL16:CL17),$G$9-'INGRESOS AFILIACIONES'!CN28)</f>
        <v>5</v>
      </c>
      <c r="CM18" s="78">
        <f>IF(SUM(CM16:CM17)&lt;$G$9-'INGRESOS AFILIACIONES'!CO28,SUM(CM16:CM17),$G$9-'INGRESOS AFILIACIONES'!CO28)</f>
        <v>3</v>
      </c>
      <c r="CN18" s="78">
        <f>IF(SUM(CN16:CN17)&lt;$G$9-'INGRESOS AFILIACIONES'!CP28,SUM(CN16:CN17),$G$9-'INGRESOS AFILIACIONES'!CP28)</f>
        <v>3</v>
      </c>
      <c r="CO18" s="78">
        <f>IF(SUM(CO16:CO17)&lt;$G$9-'INGRESOS AFILIACIONES'!CQ28,SUM(CO16:CO17),$G$9-'INGRESOS AFILIACIONES'!CQ28)</f>
        <v>5</v>
      </c>
      <c r="CP18" s="78">
        <f>IF(SUM(CP16:CP17)&lt;$G$9-'INGRESOS AFILIACIONES'!CR28,SUM(CP16:CP17),$G$9-'INGRESOS AFILIACIONES'!CR28)</f>
        <v>6</v>
      </c>
      <c r="CQ18" s="78">
        <f>IF(SUM(CQ16:CQ17)&lt;$G$9-'INGRESOS AFILIACIONES'!CS28,SUM(CQ16:CQ17),$G$9-'INGRESOS AFILIACIONES'!CS28)</f>
        <v>6</v>
      </c>
      <c r="CR18" s="78">
        <f>IF(SUM(CR16:CR17)&lt;$G$9-'INGRESOS AFILIACIONES'!CT28,SUM(CR16:CR17),$G$9-'INGRESOS AFILIACIONES'!CT28)</f>
        <v>6</v>
      </c>
      <c r="CS18" s="78">
        <f>IF(SUM(CS16:CS17)&lt;$G$9-'INGRESOS AFILIACIONES'!CU28,SUM(CS16:CS17),$G$9-'INGRESOS AFILIACIONES'!CU28)</f>
        <v>6</v>
      </c>
      <c r="CT18" s="78">
        <f>IF(SUM(CT16:CT17)&lt;$G$9-'INGRESOS AFILIACIONES'!CV28,SUM(CT16:CT17),$G$9-'INGRESOS AFILIACIONES'!CV28)</f>
        <v>5</v>
      </c>
      <c r="CU18" s="78">
        <f>IF(SUM(CU16:CU17)&lt;$G$9-'INGRESOS AFILIACIONES'!CW28,SUM(CU16:CU17),$G$9-'INGRESOS AFILIACIONES'!CW28)</f>
        <v>5</v>
      </c>
      <c r="CV18" s="78">
        <f>IF(SUM(CV16:CV17)&lt;$G$9-'INGRESOS AFILIACIONES'!CX28,SUM(CV16:CV17),$G$9-'INGRESOS AFILIACIONES'!CX28)</f>
        <v>7</v>
      </c>
      <c r="CW18" s="78">
        <f>IF(SUM(CW16:CW17)&lt;$G$9-'INGRESOS AFILIACIONES'!CY28,SUM(CW16:CW17),$G$9-'INGRESOS AFILIACIONES'!CY28)</f>
        <v>6</v>
      </c>
      <c r="CX18" s="78">
        <f>IF(SUM(CX16:CX17)&lt;$G$9-'INGRESOS AFILIACIONES'!CZ28,SUM(CX16:CX17),$G$9-'INGRESOS AFILIACIONES'!CZ28)</f>
        <v>5</v>
      </c>
      <c r="CY18" s="78">
        <f>IF(SUM(CY16:CY17)&lt;$G$9-'INGRESOS AFILIACIONES'!DA28,SUM(CY16:CY17),$G$9-'INGRESOS AFILIACIONES'!DA28)</f>
        <v>4</v>
      </c>
      <c r="CZ18" s="78">
        <f>IF(SUM(CZ16:CZ17)&lt;$G$9-'INGRESOS AFILIACIONES'!DB28,SUM(CZ16:CZ17),$G$9-'INGRESOS AFILIACIONES'!DB28)</f>
        <v>4</v>
      </c>
      <c r="DA18" s="78">
        <f>IF(SUM(DA16:DA17)&lt;$G$9-'INGRESOS AFILIACIONES'!DC28,SUM(DA16:DA17),$G$9-'INGRESOS AFILIACIONES'!DC28)</f>
        <v>5</v>
      </c>
      <c r="DB18" s="78">
        <f>IF(SUM(DB16:DB17)&lt;$G$9-'INGRESOS AFILIACIONES'!DD28,SUM(DB16:DB17),$G$9-'INGRESOS AFILIACIONES'!DD28)</f>
        <v>6</v>
      </c>
      <c r="DC18" s="78">
        <f>IF(SUM(DC16:DC17)&lt;$G$9-'INGRESOS AFILIACIONES'!DE28,SUM(DC16:DC17),$G$9-'INGRESOS AFILIACIONES'!DE28)</f>
        <v>6</v>
      </c>
      <c r="DD18" s="78">
        <f>IF(SUM(DD16:DD17)&lt;$G$9-'INGRESOS AFILIACIONES'!DF28,SUM(DD16:DD17),$G$9-'INGRESOS AFILIACIONES'!DF28)</f>
        <v>6</v>
      </c>
      <c r="DE18" s="78">
        <f>IF(SUM(DE16:DE17)&lt;$G$9-'INGRESOS AFILIACIONES'!DG28,SUM(DE16:DE17),$G$9-'INGRESOS AFILIACIONES'!DG28)</f>
        <v>6</v>
      </c>
      <c r="DF18" s="78">
        <f>IF(SUM(DF16:DF17)&lt;$G$9-'INGRESOS AFILIACIONES'!DH28,SUM(DF16:DF17),$G$9-'INGRESOS AFILIACIONES'!DH28)</f>
        <v>5</v>
      </c>
      <c r="DG18" s="78">
        <f>IF(SUM(DG16:DG17)&lt;$G$9-'INGRESOS AFILIACIONES'!DI28,SUM(DG16:DG17),$G$9-'INGRESOS AFILIACIONES'!DI28)</f>
        <v>5</v>
      </c>
      <c r="DH18" s="78">
        <f>IF(SUM(DH16:DH17)&lt;$G$9-'INGRESOS AFILIACIONES'!DJ28,SUM(DH16:DH17),$G$9-'INGRESOS AFILIACIONES'!DJ28)</f>
        <v>9</v>
      </c>
      <c r="DI18" s="78">
        <f>IF(SUM(DI16:DI17)&lt;$G$9-'INGRESOS AFILIACIONES'!DK28,SUM(DI16:DI17),$G$9-'INGRESOS AFILIACIONES'!DK28)</f>
        <v>7</v>
      </c>
      <c r="DJ18" s="78">
        <f>IF(SUM(DJ16:DJ17)&lt;$G$9-'INGRESOS AFILIACIONES'!DL28,SUM(DJ16:DJ17),$G$9-'INGRESOS AFILIACIONES'!DL28)</f>
        <v>6</v>
      </c>
      <c r="DK18" s="78">
        <f>IF(SUM(DK16:DK17)&lt;$G$9-'INGRESOS AFILIACIONES'!DM28,SUM(DK16:DK17),$G$9-'INGRESOS AFILIACIONES'!DM28)</f>
        <v>4</v>
      </c>
      <c r="DL18" s="78">
        <f>IF(SUM(DL16:DL17)&lt;$G$9-'INGRESOS AFILIACIONES'!DN28,SUM(DL16:DL17),$G$9-'INGRESOS AFILIACIONES'!DN28)</f>
        <v>4</v>
      </c>
      <c r="DM18" s="78">
        <f>IF(SUM(DM16:DM17)&lt;$G$9-'INGRESOS AFILIACIONES'!DO28,SUM(DM16:DM17),$G$9-'INGRESOS AFILIACIONES'!DO28)</f>
        <v>5</v>
      </c>
      <c r="DN18" s="78">
        <f>IF(SUM(DN16:DN17)&lt;$G$9-'INGRESOS AFILIACIONES'!DP28,SUM(DN16:DN17),$G$9-'INGRESOS AFILIACIONES'!DP28)</f>
        <v>6</v>
      </c>
      <c r="DO18" s="78">
        <f>IF(SUM(DO16:DO17)&lt;$G$9-'INGRESOS AFILIACIONES'!DQ28,SUM(DO16:DO17),$G$9-'INGRESOS AFILIACIONES'!DQ28)</f>
        <v>7</v>
      </c>
      <c r="DP18" s="78">
        <f>IF(SUM(DP16:DP17)&lt;$G$9-'INGRESOS AFILIACIONES'!DR28,SUM(DP16:DP17),$G$9-'INGRESOS AFILIACIONES'!DR28)</f>
        <v>7</v>
      </c>
      <c r="DQ18" s="78">
        <f>IF(SUM(DQ16:DQ17)&lt;$G$9-'INGRESOS AFILIACIONES'!DS28,SUM(DQ16:DQ17),$G$9-'INGRESOS AFILIACIONES'!DS28)</f>
        <v>6</v>
      </c>
      <c r="DR18" s="78">
        <f>IF(SUM(DR16:DR17)&lt;$G$9-'INGRESOS AFILIACIONES'!DT28,SUM(DR16:DR17),$G$9-'INGRESOS AFILIACIONES'!DT28)</f>
        <v>6</v>
      </c>
      <c r="DS18" s="78">
        <f>IF(SUM(DS16:DS17)&lt;$G$9-'INGRESOS AFILIACIONES'!DU28,SUM(DS16:DS17),$G$9-'INGRESOS AFILIACIONES'!DU28)</f>
        <v>5</v>
      </c>
    </row>
    <row r="19" spans="3:123" x14ac:dyDescent="0.25">
      <c r="C19" s="53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/>
      <c r="BM19" s="77"/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/>
      <c r="BZ19" s="77"/>
      <c r="CA19" s="77"/>
      <c r="CB19" s="77"/>
      <c r="CC19" s="77"/>
      <c r="CD19" s="77"/>
      <c r="CE19" s="77"/>
      <c r="CF19" s="77"/>
      <c r="CG19" s="77"/>
      <c r="CH19" s="77"/>
      <c r="CI19" s="77"/>
      <c r="CJ19" s="77"/>
      <c r="CK19" s="77"/>
      <c r="CL19" s="77"/>
      <c r="CM19" s="77"/>
      <c r="CN19" s="77"/>
      <c r="CO19" s="77"/>
      <c r="CP19" s="77"/>
      <c r="CQ19" s="77"/>
      <c r="CR19" s="77"/>
      <c r="CS19" s="77"/>
      <c r="CT19" s="77"/>
      <c r="CU19" s="77"/>
      <c r="CV19" s="77"/>
      <c r="CW19" s="77"/>
      <c r="CX19" s="77"/>
      <c r="CY19" s="77"/>
      <c r="CZ19" s="77"/>
      <c r="DA19" s="77"/>
      <c r="DB19" s="77"/>
      <c r="DC19" s="77"/>
      <c r="DD19" s="77"/>
      <c r="DE19" s="77"/>
      <c r="DF19" s="77"/>
      <c r="DG19" s="77"/>
      <c r="DH19" s="77"/>
      <c r="DI19" s="77"/>
      <c r="DJ19" s="77"/>
      <c r="DK19" s="77"/>
      <c r="DL19" s="77"/>
      <c r="DM19" s="77"/>
      <c r="DN19" s="77"/>
      <c r="DO19" s="77"/>
      <c r="DP19" s="77"/>
      <c r="DQ19" s="77"/>
      <c r="DR19" s="77"/>
      <c r="DS19" s="77"/>
    </row>
    <row r="20" spans="3:123" x14ac:dyDescent="0.25">
      <c r="C20" s="537"/>
      <c r="D20" s="537"/>
      <c r="E20" s="537"/>
      <c r="F20" s="537"/>
      <c r="G20" s="537"/>
      <c r="H20" s="537"/>
      <c r="I20" s="537"/>
      <c r="J20" s="537"/>
      <c r="K20" s="537"/>
      <c r="L20" s="537"/>
      <c r="M20" s="537"/>
      <c r="N20" s="537"/>
      <c r="O20" s="537"/>
      <c r="P20" s="537"/>
      <c r="Q20" s="537"/>
      <c r="R20" s="537"/>
      <c r="S20" s="537"/>
      <c r="T20" s="537"/>
      <c r="U20" s="537"/>
      <c r="V20" s="537"/>
      <c r="W20" s="537"/>
      <c r="X20" s="537"/>
      <c r="Y20" s="537"/>
      <c r="Z20" s="537"/>
      <c r="AA20" s="537"/>
      <c r="AB20" s="537"/>
      <c r="AC20" s="537"/>
      <c r="AD20" s="537"/>
      <c r="AE20" s="537"/>
      <c r="AF20" s="537"/>
      <c r="AG20" s="537"/>
      <c r="AH20" s="537"/>
      <c r="AI20" s="537"/>
      <c r="AJ20" s="537"/>
      <c r="AK20" s="537"/>
      <c r="AL20" s="537"/>
      <c r="AM20" s="537"/>
      <c r="AN20" s="537"/>
      <c r="AO20" s="537"/>
      <c r="AP20" s="537"/>
      <c r="AQ20" s="537"/>
      <c r="AR20" s="537"/>
      <c r="AS20" s="537"/>
      <c r="AT20" s="537"/>
      <c r="AU20" s="537"/>
      <c r="AV20" s="537"/>
      <c r="AW20" s="537"/>
      <c r="AX20" s="537"/>
      <c r="AY20" s="537"/>
      <c r="AZ20" s="537"/>
      <c r="BA20" s="537"/>
      <c r="BB20" s="537"/>
      <c r="BC20" s="537"/>
      <c r="BD20" s="537"/>
      <c r="BE20" s="537"/>
      <c r="BF20" s="537"/>
      <c r="BG20" s="537"/>
      <c r="BH20" s="537"/>
      <c r="BI20" s="537"/>
      <c r="BJ20" s="537"/>
      <c r="BK20" s="537"/>
      <c r="BL20" s="537"/>
      <c r="BM20" s="537"/>
      <c r="BN20" s="537"/>
      <c r="BO20" s="537"/>
      <c r="BP20" s="537"/>
      <c r="BQ20" s="537"/>
      <c r="BR20" s="537"/>
      <c r="BS20" s="537"/>
      <c r="BT20" s="537"/>
      <c r="BU20" s="537"/>
      <c r="BV20" s="537"/>
      <c r="BW20" s="537"/>
      <c r="BX20" s="537"/>
      <c r="BY20" s="537"/>
      <c r="BZ20" s="537"/>
      <c r="CA20" s="537"/>
      <c r="CB20" s="537"/>
      <c r="CC20" s="537"/>
      <c r="CD20" s="537"/>
      <c r="CE20" s="537"/>
      <c r="CF20" s="537"/>
      <c r="CG20" s="537"/>
      <c r="CH20" s="537"/>
      <c r="CI20" s="537"/>
      <c r="CJ20" s="537"/>
      <c r="CK20" s="537"/>
      <c r="CL20" s="537"/>
      <c r="CM20" s="537"/>
      <c r="CN20" s="537"/>
      <c r="CO20" s="537"/>
      <c r="CP20" s="537"/>
      <c r="CQ20" s="537"/>
      <c r="CR20" s="537"/>
      <c r="CS20" s="537"/>
      <c r="CT20" s="537"/>
      <c r="CU20" s="537"/>
      <c r="CV20" s="537"/>
      <c r="CW20" s="537"/>
      <c r="CX20" s="537"/>
      <c r="CY20" s="537"/>
      <c r="CZ20" s="537"/>
      <c r="DA20" s="537"/>
      <c r="DB20" s="537"/>
      <c r="DC20" s="537"/>
      <c r="DD20" s="537"/>
      <c r="DE20" s="537"/>
      <c r="DF20" s="537"/>
      <c r="DG20" s="537"/>
      <c r="DH20" s="537"/>
      <c r="DI20" s="537"/>
      <c r="DJ20" s="537"/>
      <c r="DK20" s="537"/>
      <c r="DL20" s="537"/>
      <c r="DM20" s="537"/>
      <c r="DN20" s="537"/>
      <c r="DO20" s="537"/>
      <c r="DP20" s="537"/>
      <c r="DQ20" s="537"/>
      <c r="DR20" s="537"/>
      <c r="DS20" s="537"/>
    </row>
    <row r="21" spans="3:123" x14ac:dyDescent="0.25">
      <c r="C21" s="799" t="s">
        <v>484</v>
      </c>
      <c r="D21" s="801"/>
      <c r="H21" s="530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</row>
    <row r="22" spans="3:123" x14ac:dyDescent="0.25">
      <c r="C22" s="538"/>
      <c r="D22" s="538"/>
      <c r="H22" s="530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</row>
    <row r="23" spans="3:123" x14ac:dyDescent="0.25">
      <c r="D23" s="806" t="s">
        <v>2</v>
      </c>
      <c r="E23" s="807"/>
      <c r="F23" s="807"/>
      <c r="G23" s="807"/>
      <c r="H23" s="807"/>
      <c r="I23" s="807"/>
      <c r="J23" s="807"/>
      <c r="K23" s="807"/>
      <c r="L23" s="807"/>
      <c r="M23" s="807"/>
      <c r="N23" s="807"/>
      <c r="O23" s="808"/>
      <c r="P23" s="806" t="s">
        <v>14</v>
      </c>
      <c r="Q23" s="807"/>
      <c r="R23" s="807"/>
      <c r="S23" s="807"/>
      <c r="T23" s="807"/>
      <c r="U23" s="807"/>
      <c r="V23" s="807"/>
      <c r="W23" s="807"/>
      <c r="X23" s="807"/>
      <c r="Y23" s="807"/>
      <c r="Z23" s="807"/>
      <c r="AA23" s="808"/>
      <c r="AB23" s="806" t="s">
        <v>15</v>
      </c>
      <c r="AC23" s="807"/>
      <c r="AD23" s="807"/>
      <c r="AE23" s="807"/>
      <c r="AF23" s="807"/>
      <c r="AG23" s="807"/>
      <c r="AH23" s="807"/>
      <c r="AI23" s="807"/>
      <c r="AJ23" s="807"/>
      <c r="AK23" s="807"/>
      <c r="AL23" s="807"/>
      <c r="AM23" s="808"/>
      <c r="AN23" s="806" t="s">
        <v>16</v>
      </c>
      <c r="AO23" s="807"/>
      <c r="AP23" s="807"/>
      <c r="AQ23" s="807"/>
      <c r="AR23" s="807"/>
      <c r="AS23" s="807"/>
      <c r="AT23" s="807"/>
      <c r="AU23" s="807"/>
      <c r="AV23" s="807"/>
      <c r="AW23" s="807"/>
      <c r="AX23" s="807"/>
      <c r="AY23" s="808"/>
      <c r="AZ23" s="806" t="s">
        <v>17</v>
      </c>
      <c r="BA23" s="807"/>
      <c r="BB23" s="807"/>
      <c r="BC23" s="807"/>
      <c r="BD23" s="807"/>
      <c r="BE23" s="807"/>
      <c r="BF23" s="807"/>
      <c r="BG23" s="807"/>
      <c r="BH23" s="807"/>
      <c r="BI23" s="807"/>
      <c r="BJ23" s="807"/>
      <c r="BK23" s="808"/>
      <c r="BL23" s="806" t="s">
        <v>18</v>
      </c>
      <c r="BM23" s="807"/>
      <c r="BN23" s="807"/>
      <c r="BO23" s="807"/>
      <c r="BP23" s="807"/>
      <c r="BQ23" s="807"/>
      <c r="BR23" s="807"/>
      <c r="BS23" s="807"/>
      <c r="BT23" s="807"/>
      <c r="BU23" s="807"/>
      <c r="BV23" s="807"/>
      <c r="BW23" s="808"/>
      <c r="BX23" s="806" t="s">
        <v>19</v>
      </c>
      <c r="BY23" s="807"/>
      <c r="BZ23" s="807"/>
      <c r="CA23" s="807"/>
      <c r="CB23" s="807"/>
      <c r="CC23" s="807"/>
      <c r="CD23" s="807"/>
      <c r="CE23" s="807"/>
      <c r="CF23" s="807"/>
      <c r="CG23" s="807"/>
      <c r="CH23" s="807"/>
      <c r="CI23" s="808"/>
      <c r="CJ23" s="806" t="s">
        <v>20</v>
      </c>
      <c r="CK23" s="807"/>
      <c r="CL23" s="807"/>
      <c r="CM23" s="807"/>
      <c r="CN23" s="807"/>
      <c r="CO23" s="807"/>
      <c r="CP23" s="807"/>
      <c r="CQ23" s="807"/>
      <c r="CR23" s="807"/>
      <c r="CS23" s="807"/>
      <c r="CT23" s="807"/>
      <c r="CU23" s="808"/>
      <c r="CV23" s="806" t="s">
        <v>21</v>
      </c>
      <c r="CW23" s="807"/>
      <c r="CX23" s="807"/>
      <c r="CY23" s="807"/>
      <c r="CZ23" s="807"/>
      <c r="DA23" s="807"/>
      <c r="DB23" s="807"/>
      <c r="DC23" s="807"/>
      <c r="DD23" s="807"/>
      <c r="DE23" s="807"/>
      <c r="DF23" s="807"/>
      <c r="DG23" s="808"/>
      <c r="DH23" s="806" t="s">
        <v>22</v>
      </c>
      <c r="DI23" s="807"/>
      <c r="DJ23" s="807"/>
      <c r="DK23" s="807"/>
      <c r="DL23" s="807"/>
      <c r="DM23" s="807"/>
      <c r="DN23" s="807"/>
      <c r="DO23" s="807"/>
      <c r="DP23" s="807"/>
      <c r="DQ23" s="807"/>
      <c r="DR23" s="807"/>
      <c r="DS23" s="808"/>
    </row>
    <row r="24" spans="3:123" x14ac:dyDescent="0.25">
      <c r="D24" s="543" t="s">
        <v>0</v>
      </c>
      <c r="E24" s="543" t="s">
        <v>1</v>
      </c>
      <c r="F24" s="543" t="s">
        <v>49</v>
      </c>
      <c r="G24" s="543" t="s">
        <v>50</v>
      </c>
      <c r="H24" s="543" t="s">
        <v>51</v>
      </c>
      <c r="I24" s="543" t="s">
        <v>52</v>
      </c>
      <c r="J24" s="543" t="s">
        <v>53</v>
      </c>
      <c r="K24" s="543" t="s">
        <v>54</v>
      </c>
      <c r="L24" s="543" t="s">
        <v>55</v>
      </c>
      <c r="M24" s="543" t="s">
        <v>56</v>
      </c>
      <c r="N24" s="543" t="s">
        <v>57</v>
      </c>
      <c r="O24" s="543" t="s">
        <v>58</v>
      </c>
      <c r="P24" s="543" t="s">
        <v>0</v>
      </c>
      <c r="Q24" s="543" t="s">
        <v>1</v>
      </c>
      <c r="R24" s="543" t="s">
        <v>49</v>
      </c>
      <c r="S24" s="543" t="s">
        <v>50</v>
      </c>
      <c r="T24" s="543" t="s">
        <v>51</v>
      </c>
      <c r="U24" s="543" t="s">
        <v>52</v>
      </c>
      <c r="V24" s="543" t="s">
        <v>53</v>
      </c>
      <c r="W24" s="543" t="s">
        <v>54</v>
      </c>
      <c r="X24" s="543" t="s">
        <v>55</v>
      </c>
      <c r="Y24" s="543" t="s">
        <v>56</v>
      </c>
      <c r="Z24" s="543" t="s">
        <v>57</v>
      </c>
      <c r="AA24" s="543" t="s">
        <v>58</v>
      </c>
      <c r="AB24" s="543" t="s">
        <v>0</v>
      </c>
      <c r="AC24" s="543" t="s">
        <v>1</v>
      </c>
      <c r="AD24" s="543" t="s">
        <v>49</v>
      </c>
      <c r="AE24" s="543" t="s">
        <v>50</v>
      </c>
      <c r="AF24" s="543" t="s">
        <v>51</v>
      </c>
      <c r="AG24" s="543" t="s">
        <v>52</v>
      </c>
      <c r="AH24" s="543" t="s">
        <v>53</v>
      </c>
      <c r="AI24" s="543" t="s">
        <v>54</v>
      </c>
      <c r="AJ24" s="543" t="s">
        <v>55</v>
      </c>
      <c r="AK24" s="543" t="s">
        <v>56</v>
      </c>
      <c r="AL24" s="543" t="s">
        <v>57</v>
      </c>
      <c r="AM24" s="543" t="s">
        <v>58</v>
      </c>
      <c r="AN24" s="543" t="s">
        <v>0</v>
      </c>
      <c r="AO24" s="543" t="s">
        <v>1</v>
      </c>
      <c r="AP24" s="543" t="s">
        <v>49</v>
      </c>
      <c r="AQ24" s="543" t="s">
        <v>50</v>
      </c>
      <c r="AR24" s="543" t="s">
        <v>51</v>
      </c>
      <c r="AS24" s="543" t="s">
        <v>52</v>
      </c>
      <c r="AT24" s="543" t="s">
        <v>53</v>
      </c>
      <c r="AU24" s="543" t="s">
        <v>54</v>
      </c>
      <c r="AV24" s="543" t="s">
        <v>55</v>
      </c>
      <c r="AW24" s="543" t="s">
        <v>56</v>
      </c>
      <c r="AX24" s="543" t="s">
        <v>57</v>
      </c>
      <c r="AY24" s="543" t="s">
        <v>58</v>
      </c>
      <c r="AZ24" s="543" t="s">
        <v>0</v>
      </c>
      <c r="BA24" s="543" t="s">
        <v>1</v>
      </c>
      <c r="BB24" s="543" t="s">
        <v>49</v>
      </c>
      <c r="BC24" s="543" t="s">
        <v>50</v>
      </c>
      <c r="BD24" s="543" t="s">
        <v>51</v>
      </c>
      <c r="BE24" s="543" t="s">
        <v>52</v>
      </c>
      <c r="BF24" s="543" t="s">
        <v>53</v>
      </c>
      <c r="BG24" s="543" t="s">
        <v>54</v>
      </c>
      <c r="BH24" s="543" t="s">
        <v>55</v>
      </c>
      <c r="BI24" s="543" t="s">
        <v>56</v>
      </c>
      <c r="BJ24" s="543" t="s">
        <v>57</v>
      </c>
      <c r="BK24" s="543" t="s">
        <v>58</v>
      </c>
      <c r="BL24" s="543" t="s">
        <v>0</v>
      </c>
      <c r="BM24" s="543" t="s">
        <v>1</v>
      </c>
      <c r="BN24" s="543" t="s">
        <v>49</v>
      </c>
      <c r="BO24" s="543" t="s">
        <v>50</v>
      </c>
      <c r="BP24" s="543" t="s">
        <v>51</v>
      </c>
      <c r="BQ24" s="543" t="s">
        <v>52</v>
      </c>
      <c r="BR24" s="543" t="s">
        <v>53</v>
      </c>
      <c r="BS24" s="543" t="s">
        <v>54</v>
      </c>
      <c r="BT24" s="543" t="s">
        <v>55</v>
      </c>
      <c r="BU24" s="543" t="s">
        <v>56</v>
      </c>
      <c r="BV24" s="543" t="s">
        <v>57</v>
      </c>
      <c r="BW24" s="543" t="s">
        <v>58</v>
      </c>
      <c r="BX24" s="543" t="s">
        <v>0</v>
      </c>
      <c r="BY24" s="543" t="s">
        <v>1</v>
      </c>
      <c r="BZ24" s="543" t="s">
        <v>49</v>
      </c>
      <c r="CA24" s="543" t="s">
        <v>50</v>
      </c>
      <c r="CB24" s="543" t="s">
        <v>51</v>
      </c>
      <c r="CC24" s="543" t="s">
        <v>52</v>
      </c>
      <c r="CD24" s="543" t="s">
        <v>53</v>
      </c>
      <c r="CE24" s="543" t="s">
        <v>54</v>
      </c>
      <c r="CF24" s="543" t="s">
        <v>55</v>
      </c>
      <c r="CG24" s="543" t="s">
        <v>56</v>
      </c>
      <c r="CH24" s="543" t="s">
        <v>57</v>
      </c>
      <c r="CI24" s="543" t="s">
        <v>58</v>
      </c>
      <c r="CJ24" s="543" t="s">
        <v>0</v>
      </c>
      <c r="CK24" s="543" t="s">
        <v>1</v>
      </c>
      <c r="CL24" s="543" t="s">
        <v>49</v>
      </c>
      <c r="CM24" s="543" t="s">
        <v>50</v>
      </c>
      <c r="CN24" s="543" t="s">
        <v>51</v>
      </c>
      <c r="CO24" s="543" t="s">
        <v>52</v>
      </c>
      <c r="CP24" s="543" t="s">
        <v>53</v>
      </c>
      <c r="CQ24" s="543" t="s">
        <v>54</v>
      </c>
      <c r="CR24" s="543" t="s">
        <v>55</v>
      </c>
      <c r="CS24" s="543" t="s">
        <v>56</v>
      </c>
      <c r="CT24" s="543" t="s">
        <v>57</v>
      </c>
      <c r="CU24" s="543" t="s">
        <v>58</v>
      </c>
      <c r="CV24" s="543" t="s">
        <v>0</v>
      </c>
      <c r="CW24" s="543" t="s">
        <v>1</v>
      </c>
      <c r="CX24" s="543" t="s">
        <v>49</v>
      </c>
      <c r="CY24" s="543" t="s">
        <v>50</v>
      </c>
      <c r="CZ24" s="543" t="s">
        <v>51</v>
      </c>
      <c r="DA24" s="543" t="s">
        <v>52</v>
      </c>
      <c r="DB24" s="543" t="s">
        <v>53</v>
      </c>
      <c r="DC24" s="543" t="s">
        <v>54</v>
      </c>
      <c r="DD24" s="543" t="s">
        <v>55</v>
      </c>
      <c r="DE24" s="543" t="s">
        <v>56</v>
      </c>
      <c r="DF24" s="543" t="s">
        <v>57</v>
      </c>
      <c r="DG24" s="543" t="s">
        <v>58</v>
      </c>
      <c r="DH24" s="543" t="s">
        <v>0</v>
      </c>
      <c r="DI24" s="543" t="s">
        <v>1</v>
      </c>
      <c r="DJ24" s="543" t="s">
        <v>49</v>
      </c>
      <c r="DK24" s="543" t="s">
        <v>50</v>
      </c>
      <c r="DL24" s="543" t="s">
        <v>51</v>
      </c>
      <c r="DM24" s="543" t="s">
        <v>52</v>
      </c>
      <c r="DN24" s="543" t="s">
        <v>53</v>
      </c>
      <c r="DO24" s="543" t="s">
        <v>54</v>
      </c>
      <c r="DP24" s="543" t="s">
        <v>55</v>
      </c>
      <c r="DQ24" s="543" t="s">
        <v>56</v>
      </c>
      <c r="DR24" s="543" t="s">
        <v>57</v>
      </c>
      <c r="DS24" s="543" t="s">
        <v>58</v>
      </c>
    </row>
    <row r="25" spans="3:123" x14ac:dyDescent="0.25">
      <c r="D25" s="84">
        <f t="shared" ref="D25:BO25" si="0">$E$5*D18</f>
        <v>203.38983050847457</v>
      </c>
      <c r="E25" s="84">
        <f t="shared" si="0"/>
        <v>203.38983050847457</v>
      </c>
      <c r="F25" s="84">
        <f t="shared" si="0"/>
        <v>305.08474576271186</v>
      </c>
      <c r="G25" s="84">
        <f t="shared" si="0"/>
        <v>203.38983050847457</v>
      </c>
      <c r="H25" s="84">
        <f t="shared" si="0"/>
        <v>203.38983050847457</v>
      </c>
      <c r="I25" s="84">
        <f t="shared" si="0"/>
        <v>203.38983050847457</v>
      </c>
      <c r="J25" s="84">
        <f t="shared" si="0"/>
        <v>305.08474576271186</v>
      </c>
      <c r="K25" s="84">
        <f t="shared" si="0"/>
        <v>305.08474576271186</v>
      </c>
      <c r="L25" s="84">
        <f t="shared" si="0"/>
        <v>305.08474576271186</v>
      </c>
      <c r="M25" s="84">
        <f t="shared" si="0"/>
        <v>305.08474576271186</v>
      </c>
      <c r="N25" s="84">
        <f t="shared" si="0"/>
        <v>305.08474576271186</v>
      </c>
      <c r="O25" s="84">
        <f t="shared" si="0"/>
        <v>203.38983050847457</v>
      </c>
      <c r="P25" s="84">
        <f t="shared" si="0"/>
        <v>508.47457627118644</v>
      </c>
      <c r="Q25" s="84">
        <f t="shared" si="0"/>
        <v>406.77966101694915</v>
      </c>
      <c r="R25" s="84">
        <f t="shared" si="0"/>
        <v>203.38983050847457</v>
      </c>
      <c r="S25" s="84">
        <f t="shared" si="0"/>
        <v>203.38983050847457</v>
      </c>
      <c r="T25" s="84">
        <f t="shared" si="0"/>
        <v>203.38983050847457</v>
      </c>
      <c r="U25" s="84">
        <f t="shared" si="0"/>
        <v>203.38983050847457</v>
      </c>
      <c r="V25" s="84">
        <f t="shared" si="0"/>
        <v>305.08474576271186</v>
      </c>
      <c r="W25" s="84">
        <f t="shared" si="0"/>
        <v>305.08474576271186</v>
      </c>
      <c r="X25" s="84">
        <f t="shared" si="0"/>
        <v>406.77966101694915</v>
      </c>
      <c r="Y25" s="84">
        <f t="shared" si="0"/>
        <v>305.08474576271186</v>
      </c>
      <c r="Z25" s="84">
        <f t="shared" si="0"/>
        <v>203.38983050847457</v>
      </c>
      <c r="AA25" s="84">
        <f t="shared" si="0"/>
        <v>203.38983050847457</v>
      </c>
      <c r="AB25" s="84">
        <f t="shared" si="0"/>
        <v>508.47457627118644</v>
      </c>
      <c r="AC25" s="84">
        <f t="shared" si="0"/>
        <v>406.77966101694915</v>
      </c>
      <c r="AD25" s="84">
        <f t="shared" si="0"/>
        <v>305.08474576271186</v>
      </c>
      <c r="AE25" s="84">
        <f t="shared" si="0"/>
        <v>203.38983050847457</v>
      </c>
      <c r="AF25" s="84">
        <f t="shared" si="0"/>
        <v>203.38983050847457</v>
      </c>
      <c r="AG25" s="84">
        <f t="shared" si="0"/>
        <v>305.08474576271186</v>
      </c>
      <c r="AH25" s="84">
        <f t="shared" si="0"/>
        <v>406.77966101694915</v>
      </c>
      <c r="AI25" s="84">
        <f t="shared" si="0"/>
        <v>406.77966101694915</v>
      </c>
      <c r="AJ25" s="84">
        <f t="shared" si="0"/>
        <v>406.77966101694915</v>
      </c>
      <c r="AK25" s="84">
        <f t="shared" si="0"/>
        <v>406.77966101694915</v>
      </c>
      <c r="AL25" s="84">
        <f t="shared" si="0"/>
        <v>305.08474576271186</v>
      </c>
      <c r="AM25" s="84">
        <f t="shared" si="0"/>
        <v>203.38983050847457</v>
      </c>
      <c r="AN25" s="84">
        <f t="shared" si="0"/>
        <v>508.47457627118644</v>
      </c>
      <c r="AO25" s="84">
        <f t="shared" si="0"/>
        <v>508.47457627118644</v>
      </c>
      <c r="AP25" s="84">
        <f t="shared" si="0"/>
        <v>305.08474576271186</v>
      </c>
      <c r="AQ25" s="84">
        <f t="shared" si="0"/>
        <v>203.38983050847457</v>
      </c>
      <c r="AR25" s="84">
        <f t="shared" si="0"/>
        <v>203.38983050847457</v>
      </c>
      <c r="AS25" s="84">
        <f t="shared" si="0"/>
        <v>305.08474576271186</v>
      </c>
      <c r="AT25" s="84">
        <f t="shared" si="0"/>
        <v>406.77966101694915</v>
      </c>
      <c r="AU25" s="84">
        <f t="shared" si="0"/>
        <v>508.47457627118644</v>
      </c>
      <c r="AV25" s="84">
        <f t="shared" si="0"/>
        <v>508.47457627118644</v>
      </c>
      <c r="AW25" s="84">
        <f t="shared" si="0"/>
        <v>406.77966101694915</v>
      </c>
      <c r="AX25" s="84">
        <f t="shared" si="0"/>
        <v>305.08474576271186</v>
      </c>
      <c r="AY25" s="84">
        <f t="shared" si="0"/>
        <v>305.08474576271186</v>
      </c>
      <c r="AZ25" s="84">
        <f t="shared" si="0"/>
        <v>610.16949152542372</v>
      </c>
      <c r="BA25" s="84">
        <f t="shared" si="0"/>
        <v>508.47457627118644</v>
      </c>
      <c r="BB25" s="84">
        <f t="shared" si="0"/>
        <v>406.77966101694915</v>
      </c>
      <c r="BC25" s="84">
        <f t="shared" si="0"/>
        <v>203.38983050847457</v>
      </c>
      <c r="BD25" s="84">
        <f t="shared" si="0"/>
        <v>203.38983050847457</v>
      </c>
      <c r="BE25" s="84">
        <f t="shared" si="0"/>
        <v>305.08474576271186</v>
      </c>
      <c r="BF25" s="84">
        <f t="shared" si="0"/>
        <v>508.47457627118644</v>
      </c>
      <c r="BG25" s="84">
        <f t="shared" si="0"/>
        <v>508.47457627118644</v>
      </c>
      <c r="BH25" s="84">
        <f t="shared" si="0"/>
        <v>508.47457627118644</v>
      </c>
      <c r="BI25" s="84">
        <f t="shared" si="0"/>
        <v>508.47457627118644</v>
      </c>
      <c r="BJ25" s="84">
        <f t="shared" si="0"/>
        <v>406.77966101694915</v>
      </c>
      <c r="BK25" s="84">
        <f t="shared" si="0"/>
        <v>305.08474576271186</v>
      </c>
      <c r="BL25" s="84">
        <f t="shared" si="0"/>
        <v>610.16949152542372</v>
      </c>
      <c r="BM25" s="84">
        <f t="shared" si="0"/>
        <v>508.47457627118644</v>
      </c>
      <c r="BN25" s="84">
        <f t="shared" si="0"/>
        <v>406.77966101694915</v>
      </c>
      <c r="BO25" s="84">
        <f t="shared" si="0"/>
        <v>203.38983050847457</v>
      </c>
      <c r="BP25" s="84">
        <f t="shared" ref="BP25:DS25" si="1">$E$5*BP18</f>
        <v>203.38983050847457</v>
      </c>
      <c r="BQ25" s="84">
        <f t="shared" si="1"/>
        <v>406.77966101694915</v>
      </c>
      <c r="BR25" s="84">
        <f t="shared" si="1"/>
        <v>508.47457627118644</v>
      </c>
      <c r="BS25" s="84">
        <f t="shared" si="1"/>
        <v>508.47457627118644</v>
      </c>
      <c r="BT25" s="84">
        <f t="shared" si="1"/>
        <v>508.47457627118644</v>
      </c>
      <c r="BU25" s="84">
        <f t="shared" si="1"/>
        <v>508.47457627118644</v>
      </c>
      <c r="BV25" s="84">
        <f t="shared" si="1"/>
        <v>406.77966101694915</v>
      </c>
      <c r="BW25" s="84">
        <f t="shared" si="1"/>
        <v>406.77966101694915</v>
      </c>
      <c r="BX25" s="84">
        <f t="shared" si="1"/>
        <v>610.16949152542372</v>
      </c>
      <c r="BY25" s="84">
        <f t="shared" si="1"/>
        <v>610.16949152542372</v>
      </c>
      <c r="BZ25" s="84">
        <f t="shared" si="1"/>
        <v>508.47457627118644</v>
      </c>
      <c r="CA25" s="84">
        <f t="shared" si="1"/>
        <v>305.08474576271186</v>
      </c>
      <c r="CB25" s="84">
        <f t="shared" si="1"/>
        <v>305.08474576271186</v>
      </c>
      <c r="CC25" s="84">
        <f t="shared" si="1"/>
        <v>406.77966101694915</v>
      </c>
      <c r="CD25" s="84">
        <f t="shared" si="1"/>
        <v>508.47457627118644</v>
      </c>
      <c r="CE25" s="84">
        <f t="shared" si="1"/>
        <v>508.47457627118644</v>
      </c>
      <c r="CF25" s="84">
        <f t="shared" si="1"/>
        <v>610.16949152542372</v>
      </c>
      <c r="CG25" s="84">
        <f t="shared" si="1"/>
        <v>508.47457627118644</v>
      </c>
      <c r="CH25" s="84">
        <f t="shared" si="1"/>
        <v>508.47457627118644</v>
      </c>
      <c r="CI25" s="84">
        <f t="shared" si="1"/>
        <v>406.77966101694915</v>
      </c>
      <c r="CJ25" s="84">
        <f t="shared" si="1"/>
        <v>711.86440677966107</v>
      </c>
      <c r="CK25" s="84">
        <f t="shared" si="1"/>
        <v>610.16949152542372</v>
      </c>
      <c r="CL25" s="84">
        <f t="shared" si="1"/>
        <v>508.47457627118644</v>
      </c>
      <c r="CM25" s="84">
        <f t="shared" si="1"/>
        <v>305.08474576271186</v>
      </c>
      <c r="CN25" s="84">
        <f t="shared" si="1"/>
        <v>305.08474576271186</v>
      </c>
      <c r="CO25" s="84">
        <f t="shared" si="1"/>
        <v>508.47457627118644</v>
      </c>
      <c r="CP25" s="84">
        <f t="shared" si="1"/>
        <v>610.16949152542372</v>
      </c>
      <c r="CQ25" s="84">
        <f t="shared" si="1"/>
        <v>610.16949152542372</v>
      </c>
      <c r="CR25" s="84">
        <f t="shared" si="1"/>
        <v>610.16949152542372</v>
      </c>
      <c r="CS25" s="84">
        <f t="shared" si="1"/>
        <v>610.16949152542372</v>
      </c>
      <c r="CT25" s="84">
        <f t="shared" si="1"/>
        <v>508.47457627118644</v>
      </c>
      <c r="CU25" s="84">
        <f t="shared" si="1"/>
        <v>508.47457627118644</v>
      </c>
      <c r="CV25" s="84">
        <f t="shared" si="1"/>
        <v>711.86440677966107</v>
      </c>
      <c r="CW25" s="84">
        <f t="shared" si="1"/>
        <v>610.16949152542372</v>
      </c>
      <c r="CX25" s="84">
        <f t="shared" si="1"/>
        <v>508.47457627118644</v>
      </c>
      <c r="CY25" s="84">
        <f t="shared" si="1"/>
        <v>406.77966101694915</v>
      </c>
      <c r="CZ25" s="84">
        <f t="shared" si="1"/>
        <v>406.77966101694915</v>
      </c>
      <c r="DA25" s="84">
        <f t="shared" si="1"/>
        <v>508.47457627118644</v>
      </c>
      <c r="DB25" s="84">
        <f t="shared" si="1"/>
        <v>610.16949152542372</v>
      </c>
      <c r="DC25" s="84">
        <f t="shared" si="1"/>
        <v>610.16949152542372</v>
      </c>
      <c r="DD25" s="84">
        <f t="shared" si="1"/>
        <v>610.16949152542372</v>
      </c>
      <c r="DE25" s="84">
        <f t="shared" si="1"/>
        <v>610.16949152542372</v>
      </c>
      <c r="DF25" s="84">
        <f t="shared" si="1"/>
        <v>508.47457627118644</v>
      </c>
      <c r="DG25" s="84">
        <f t="shared" si="1"/>
        <v>508.47457627118644</v>
      </c>
      <c r="DH25" s="84">
        <f t="shared" si="1"/>
        <v>915.25423728813553</v>
      </c>
      <c r="DI25" s="84">
        <f t="shared" si="1"/>
        <v>711.86440677966107</v>
      </c>
      <c r="DJ25" s="84">
        <f t="shared" si="1"/>
        <v>610.16949152542372</v>
      </c>
      <c r="DK25" s="84">
        <f t="shared" si="1"/>
        <v>406.77966101694915</v>
      </c>
      <c r="DL25" s="84">
        <f t="shared" si="1"/>
        <v>406.77966101694915</v>
      </c>
      <c r="DM25" s="84">
        <f t="shared" si="1"/>
        <v>508.47457627118644</v>
      </c>
      <c r="DN25" s="84">
        <f t="shared" si="1"/>
        <v>610.16949152542372</v>
      </c>
      <c r="DO25" s="84">
        <f t="shared" si="1"/>
        <v>711.86440677966107</v>
      </c>
      <c r="DP25" s="84">
        <f t="shared" si="1"/>
        <v>711.86440677966107</v>
      </c>
      <c r="DQ25" s="84">
        <f t="shared" si="1"/>
        <v>610.16949152542372</v>
      </c>
      <c r="DR25" s="84">
        <f t="shared" si="1"/>
        <v>610.16949152542372</v>
      </c>
      <c r="DS25" s="84">
        <f t="shared" si="1"/>
        <v>508.47457627118644</v>
      </c>
    </row>
    <row r="26" spans="3:123" x14ac:dyDescent="0.25">
      <c r="C26" s="406"/>
      <c r="D26" s="539"/>
      <c r="E26" s="539"/>
      <c r="F26" s="539"/>
      <c r="G26" s="539"/>
      <c r="H26" s="539"/>
      <c r="I26" s="539"/>
      <c r="J26" s="539"/>
      <c r="K26" s="539"/>
      <c r="L26" s="539"/>
      <c r="M26" s="539"/>
      <c r="N26" s="539"/>
      <c r="O26" s="539"/>
      <c r="P26" s="539"/>
      <c r="Q26" s="539"/>
      <c r="R26" s="539"/>
      <c r="S26" s="539"/>
      <c r="T26" s="539"/>
      <c r="U26" s="539"/>
      <c r="V26" s="539"/>
      <c r="W26" s="539"/>
      <c r="X26" s="539"/>
      <c r="Y26" s="539"/>
      <c r="Z26" s="539"/>
      <c r="AA26" s="539"/>
      <c r="AB26" s="539"/>
      <c r="AC26" s="539"/>
      <c r="AD26" s="539"/>
      <c r="AE26" s="539"/>
      <c r="AF26" s="539"/>
      <c r="AG26" s="539"/>
      <c r="AH26" s="539"/>
      <c r="AI26" s="539"/>
      <c r="AJ26" s="539"/>
      <c r="AK26" s="539"/>
      <c r="AL26" s="539"/>
      <c r="AM26" s="539"/>
      <c r="AN26" s="539"/>
      <c r="AO26" s="539"/>
      <c r="AP26" s="539"/>
      <c r="AQ26" s="539"/>
      <c r="AR26" s="539"/>
      <c r="AS26" s="539"/>
      <c r="AT26" s="539"/>
      <c r="AU26" s="539"/>
      <c r="AV26" s="539"/>
      <c r="AW26" s="539"/>
      <c r="AX26" s="539"/>
      <c r="AY26" s="539"/>
      <c r="AZ26" s="539"/>
      <c r="BA26" s="539"/>
      <c r="BB26" s="539"/>
      <c r="BC26" s="539"/>
      <c r="BD26" s="539"/>
      <c r="BE26" s="539"/>
      <c r="BF26" s="539"/>
      <c r="BG26" s="539"/>
      <c r="BH26" s="539"/>
      <c r="BI26" s="539"/>
      <c r="BJ26" s="539"/>
      <c r="BK26" s="539"/>
      <c r="BL26" s="539"/>
      <c r="BM26" s="539"/>
      <c r="BN26" s="539"/>
      <c r="BO26" s="539"/>
      <c r="BP26" s="539"/>
      <c r="BQ26" s="539"/>
      <c r="BR26" s="539"/>
      <c r="BS26" s="539"/>
      <c r="BT26" s="539"/>
      <c r="BU26" s="539"/>
      <c r="BV26" s="539"/>
      <c r="BW26" s="539"/>
      <c r="BX26" s="539"/>
      <c r="BY26" s="539"/>
      <c r="BZ26" s="539"/>
      <c r="CA26" s="539"/>
      <c r="CB26" s="539"/>
      <c r="CC26" s="539"/>
      <c r="CD26" s="539"/>
      <c r="CE26" s="539"/>
      <c r="CF26" s="539"/>
      <c r="CG26" s="539"/>
      <c r="CH26" s="539"/>
      <c r="CI26" s="539"/>
      <c r="CJ26" s="539"/>
      <c r="CK26" s="539"/>
      <c r="CL26" s="539"/>
      <c r="CM26" s="539"/>
      <c r="CN26" s="539"/>
      <c r="CO26" s="539"/>
      <c r="CP26" s="539"/>
      <c r="CQ26" s="539"/>
      <c r="CR26" s="539"/>
      <c r="CS26" s="539"/>
      <c r="CT26" s="539"/>
      <c r="CU26" s="539"/>
      <c r="CV26" s="539"/>
      <c r="CW26" s="539"/>
      <c r="CX26" s="539"/>
      <c r="CY26" s="539"/>
      <c r="CZ26" s="539"/>
      <c r="DA26" s="539"/>
      <c r="DB26" s="539"/>
      <c r="DC26" s="539"/>
      <c r="DD26" s="539"/>
      <c r="DE26" s="539"/>
      <c r="DF26" s="539"/>
      <c r="DG26" s="539"/>
      <c r="DH26" s="539"/>
      <c r="DI26" s="539"/>
      <c r="DJ26" s="539"/>
      <c r="DK26" s="539"/>
      <c r="DL26" s="539"/>
      <c r="DM26" s="539"/>
      <c r="DN26" s="539"/>
      <c r="DO26" s="539"/>
      <c r="DP26" s="539"/>
      <c r="DQ26" s="539"/>
      <c r="DR26" s="539"/>
      <c r="DS26" s="539"/>
    </row>
    <row r="27" spans="3:123" x14ac:dyDescent="0.25">
      <c r="H27" s="530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</row>
    <row r="28" spans="3:123" x14ac:dyDescent="0.25">
      <c r="D28" s="543" t="s">
        <v>2</v>
      </c>
      <c r="E28" s="543" t="s">
        <v>14</v>
      </c>
      <c r="F28" s="543" t="s">
        <v>15</v>
      </c>
      <c r="G28" s="543" t="s">
        <v>16</v>
      </c>
      <c r="H28" s="543" t="s">
        <v>17</v>
      </c>
      <c r="I28" s="543" t="s">
        <v>18</v>
      </c>
      <c r="J28" s="543" t="s">
        <v>19</v>
      </c>
      <c r="K28" s="543" t="s">
        <v>20</v>
      </c>
      <c r="L28" s="543" t="s">
        <v>21</v>
      </c>
      <c r="M28" s="543" t="s">
        <v>22</v>
      </c>
      <c r="N28" s="77"/>
      <c r="O28" s="77"/>
      <c r="P28" s="77"/>
      <c r="Q28" s="77"/>
      <c r="R28" s="77"/>
      <c r="S28" s="77"/>
      <c r="T28" s="77"/>
    </row>
    <row r="29" spans="3:123" x14ac:dyDescent="0.25">
      <c r="D29" s="160">
        <f>SUM(D25:O25)</f>
        <v>3050.8474576271187</v>
      </c>
      <c r="E29" s="160">
        <f>SUM(P25:AA25)</f>
        <v>3457.6271186440677</v>
      </c>
      <c r="F29" s="160">
        <f>SUM(AB25:AM25)</f>
        <v>4067.796610169491</v>
      </c>
      <c r="G29" s="160">
        <f>SUM(AN25:AY25)</f>
        <v>4474.576271186439</v>
      </c>
      <c r="H29" s="160">
        <f>SUM(AZ25:BK25)</f>
        <v>4983.0508474576263</v>
      </c>
      <c r="I29" s="160">
        <f>SUM(BL25:BW25)</f>
        <v>5186.4406779661012</v>
      </c>
      <c r="J29" s="160">
        <f>SUM(BX25:CI25)</f>
        <v>5796.6101694915251</v>
      </c>
      <c r="K29" s="160">
        <f>SUM(CJ25:CU25)</f>
        <v>6406.7796610169489</v>
      </c>
      <c r="L29" s="160">
        <f>SUM(CV25:DG25)</f>
        <v>6610.1694915254238</v>
      </c>
      <c r="M29" s="160">
        <f>SUM(DH25:DS25)</f>
        <v>7322.0338983050851</v>
      </c>
      <c r="N29" s="77"/>
      <c r="O29" s="77"/>
      <c r="P29" s="77"/>
      <c r="Q29" s="77"/>
      <c r="R29" s="77"/>
      <c r="S29" s="77"/>
      <c r="T29" s="77"/>
    </row>
    <row r="30" spans="3:123" x14ac:dyDescent="0.25">
      <c r="H30" s="530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</row>
    <row r="31" spans="3:123" x14ac:dyDescent="0.25">
      <c r="D31" s="80"/>
      <c r="E31" s="81"/>
      <c r="F31" s="81"/>
      <c r="G31" s="82"/>
      <c r="H31" s="530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</row>
    <row r="33" spans="3:123" x14ac:dyDescent="0.25">
      <c r="C33" s="527" t="s">
        <v>153</v>
      </c>
      <c r="D33" s="528"/>
      <c r="E33" s="528"/>
      <c r="F33" s="529"/>
    </row>
    <row r="35" spans="3:123" x14ac:dyDescent="0.25">
      <c r="D35" s="530"/>
      <c r="E35" s="531" t="s">
        <v>485</v>
      </c>
      <c r="F35" s="531" t="s">
        <v>486</v>
      </c>
    </row>
    <row r="36" spans="3:123" x14ac:dyDescent="0.25">
      <c r="D36" s="154" t="s">
        <v>154</v>
      </c>
      <c r="E36" s="543" t="s">
        <v>155</v>
      </c>
      <c r="F36" s="543" t="s">
        <v>155</v>
      </c>
    </row>
    <row r="37" spans="3:123" x14ac:dyDescent="0.25">
      <c r="D37" s="402" t="s">
        <v>156</v>
      </c>
      <c r="E37" s="84" t="s">
        <v>487</v>
      </c>
      <c r="F37" s="84" t="s">
        <v>488</v>
      </c>
    </row>
    <row r="38" spans="3:123" ht="36" customHeight="1" x14ac:dyDescent="0.25">
      <c r="D38" s="161" t="s">
        <v>489</v>
      </c>
      <c r="E38" s="84">
        <v>160</v>
      </c>
      <c r="F38" s="84">
        <v>320</v>
      </c>
    </row>
    <row r="39" spans="3:123" x14ac:dyDescent="0.25">
      <c r="D39" s="161" t="s">
        <v>152</v>
      </c>
      <c r="E39" s="802">
        <v>0.03</v>
      </c>
      <c r="F39" s="803"/>
    </row>
    <row r="40" spans="3:123" ht="27" customHeight="1" x14ac:dyDescent="0.25">
      <c r="D40" s="161" t="s">
        <v>158</v>
      </c>
      <c r="E40" s="804">
        <f>110/1.18</f>
        <v>93.220338983050851</v>
      </c>
      <c r="F40" s="805"/>
    </row>
    <row r="41" spans="3:123" x14ac:dyDescent="0.25">
      <c r="D41" s="80"/>
      <c r="E41" s="80"/>
    </row>
    <row r="43" spans="3:123" x14ac:dyDescent="0.25">
      <c r="C43" s="799" t="s">
        <v>483</v>
      </c>
      <c r="D43" s="801"/>
    </row>
    <row r="44" spans="3:123" x14ac:dyDescent="0.25">
      <c r="C44" s="535"/>
      <c r="D44" s="535"/>
    </row>
    <row r="45" spans="3:123" ht="13.5" customHeight="1" x14ac:dyDescent="0.25">
      <c r="D45" s="799" t="s">
        <v>2</v>
      </c>
      <c r="E45" s="800"/>
      <c r="F45" s="800"/>
      <c r="G45" s="800"/>
      <c r="H45" s="800"/>
      <c r="I45" s="800"/>
      <c r="J45" s="800"/>
      <c r="K45" s="800"/>
      <c r="L45" s="800"/>
      <c r="M45" s="800"/>
      <c r="N45" s="800"/>
      <c r="O45" s="801"/>
      <c r="P45" s="799" t="s">
        <v>14</v>
      </c>
      <c r="Q45" s="800"/>
      <c r="R45" s="800"/>
      <c r="S45" s="800"/>
      <c r="T45" s="800"/>
      <c r="U45" s="800"/>
      <c r="V45" s="800"/>
      <c r="W45" s="800"/>
      <c r="X45" s="800"/>
      <c r="Y45" s="800"/>
      <c r="Z45" s="800"/>
      <c r="AA45" s="801"/>
      <c r="AB45" s="799" t="s">
        <v>15</v>
      </c>
      <c r="AC45" s="800"/>
      <c r="AD45" s="800"/>
      <c r="AE45" s="800"/>
      <c r="AF45" s="800"/>
      <c r="AG45" s="800"/>
      <c r="AH45" s="800"/>
      <c r="AI45" s="800"/>
      <c r="AJ45" s="800"/>
      <c r="AK45" s="800"/>
      <c r="AL45" s="800"/>
      <c r="AM45" s="801"/>
      <c r="AN45" s="799" t="s">
        <v>16</v>
      </c>
      <c r="AO45" s="800"/>
      <c r="AP45" s="800"/>
      <c r="AQ45" s="800"/>
      <c r="AR45" s="800"/>
      <c r="AS45" s="800"/>
      <c r="AT45" s="800"/>
      <c r="AU45" s="800"/>
      <c r="AV45" s="800"/>
      <c r="AW45" s="800"/>
      <c r="AX45" s="800"/>
      <c r="AY45" s="801"/>
      <c r="AZ45" s="799" t="s">
        <v>17</v>
      </c>
      <c r="BA45" s="800"/>
      <c r="BB45" s="800"/>
      <c r="BC45" s="800"/>
      <c r="BD45" s="800"/>
      <c r="BE45" s="800"/>
      <c r="BF45" s="800"/>
      <c r="BG45" s="800"/>
      <c r="BH45" s="800"/>
      <c r="BI45" s="800"/>
      <c r="BJ45" s="800"/>
      <c r="BK45" s="801"/>
      <c r="BL45" s="799" t="s">
        <v>18</v>
      </c>
      <c r="BM45" s="800"/>
      <c r="BN45" s="800"/>
      <c r="BO45" s="800"/>
      <c r="BP45" s="800"/>
      <c r="BQ45" s="800"/>
      <c r="BR45" s="800"/>
      <c r="BS45" s="800"/>
      <c r="BT45" s="800"/>
      <c r="BU45" s="800"/>
      <c r="BV45" s="800"/>
      <c r="BW45" s="801"/>
      <c r="BX45" s="799" t="s">
        <v>19</v>
      </c>
      <c r="BY45" s="800"/>
      <c r="BZ45" s="800"/>
      <c r="CA45" s="800"/>
      <c r="CB45" s="800"/>
      <c r="CC45" s="800"/>
      <c r="CD45" s="800"/>
      <c r="CE45" s="800"/>
      <c r="CF45" s="800"/>
      <c r="CG45" s="800"/>
      <c r="CH45" s="800"/>
      <c r="CI45" s="801"/>
      <c r="CJ45" s="799" t="s">
        <v>20</v>
      </c>
      <c r="CK45" s="800"/>
      <c r="CL45" s="800"/>
      <c r="CM45" s="800"/>
      <c r="CN45" s="800"/>
      <c r="CO45" s="800"/>
      <c r="CP45" s="800"/>
      <c r="CQ45" s="800"/>
      <c r="CR45" s="800"/>
      <c r="CS45" s="800"/>
      <c r="CT45" s="800"/>
      <c r="CU45" s="801"/>
      <c r="CV45" s="799" t="s">
        <v>21</v>
      </c>
      <c r="CW45" s="800"/>
      <c r="CX45" s="800"/>
      <c r="CY45" s="800"/>
      <c r="CZ45" s="800"/>
      <c r="DA45" s="800"/>
      <c r="DB45" s="800"/>
      <c r="DC45" s="800"/>
      <c r="DD45" s="800"/>
      <c r="DE45" s="800"/>
      <c r="DF45" s="800"/>
      <c r="DG45" s="801"/>
      <c r="DH45" s="799" t="s">
        <v>22</v>
      </c>
      <c r="DI45" s="800"/>
      <c r="DJ45" s="800"/>
      <c r="DK45" s="800"/>
      <c r="DL45" s="800"/>
      <c r="DM45" s="800"/>
      <c r="DN45" s="800"/>
      <c r="DO45" s="800"/>
      <c r="DP45" s="800"/>
      <c r="DQ45" s="800"/>
      <c r="DR45" s="800"/>
      <c r="DS45" s="801"/>
    </row>
    <row r="46" spans="3:123" x14ac:dyDescent="0.25">
      <c r="C46" s="530"/>
      <c r="D46" s="159" t="s">
        <v>0</v>
      </c>
      <c r="E46" s="159" t="s">
        <v>1</v>
      </c>
      <c r="F46" s="159" t="s">
        <v>49</v>
      </c>
      <c r="G46" s="159" t="s">
        <v>50</v>
      </c>
      <c r="H46" s="159" t="s">
        <v>51</v>
      </c>
      <c r="I46" s="159" t="s">
        <v>52</v>
      </c>
      <c r="J46" s="159" t="s">
        <v>53</v>
      </c>
      <c r="K46" s="159" t="s">
        <v>54</v>
      </c>
      <c r="L46" s="159" t="s">
        <v>55</v>
      </c>
      <c r="M46" s="159" t="s">
        <v>56</v>
      </c>
      <c r="N46" s="159" t="s">
        <v>57</v>
      </c>
      <c r="O46" s="159" t="s">
        <v>58</v>
      </c>
      <c r="P46" s="159" t="s">
        <v>0</v>
      </c>
      <c r="Q46" s="159" t="s">
        <v>1</v>
      </c>
      <c r="R46" s="159" t="s">
        <v>49</v>
      </c>
      <c r="S46" s="159" t="s">
        <v>50</v>
      </c>
      <c r="T46" s="159" t="s">
        <v>51</v>
      </c>
      <c r="U46" s="159" t="s">
        <v>52</v>
      </c>
      <c r="V46" s="159" t="s">
        <v>53</v>
      </c>
      <c r="W46" s="159" t="s">
        <v>54</v>
      </c>
      <c r="X46" s="159" t="s">
        <v>55</v>
      </c>
      <c r="Y46" s="159" t="s">
        <v>56</v>
      </c>
      <c r="Z46" s="159" t="s">
        <v>57</v>
      </c>
      <c r="AA46" s="159" t="s">
        <v>58</v>
      </c>
      <c r="AB46" s="159" t="s">
        <v>0</v>
      </c>
      <c r="AC46" s="159" t="s">
        <v>1</v>
      </c>
      <c r="AD46" s="159" t="s">
        <v>49</v>
      </c>
      <c r="AE46" s="159" t="s">
        <v>50</v>
      </c>
      <c r="AF46" s="159" t="s">
        <v>51</v>
      </c>
      <c r="AG46" s="159" t="s">
        <v>52</v>
      </c>
      <c r="AH46" s="159" t="s">
        <v>53</v>
      </c>
      <c r="AI46" s="159" t="s">
        <v>54</v>
      </c>
      <c r="AJ46" s="159" t="s">
        <v>55</v>
      </c>
      <c r="AK46" s="159" t="s">
        <v>56</v>
      </c>
      <c r="AL46" s="159" t="s">
        <v>57</v>
      </c>
      <c r="AM46" s="159" t="s">
        <v>58</v>
      </c>
      <c r="AN46" s="159" t="s">
        <v>0</v>
      </c>
      <c r="AO46" s="159" t="s">
        <v>1</v>
      </c>
      <c r="AP46" s="159" t="s">
        <v>49</v>
      </c>
      <c r="AQ46" s="159" t="s">
        <v>50</v>
      </c>
      <c r="AR46" s="159" t="s">
        <v>51</v>
      </c>
      <c r="AS46" s="159" t="s">
        <v>52</v>
      </c>
      <c r="AT46" s="159" t="s">
        <v>53</v>
      </c>
      <c r="AU46" s="159" t="s">
        <v>54</v>
      </c>
      <c r="AV46" s="159" t="s">
        <v>55</v>
      </c>
      <c r="AW46" s="159" t="s">
        <v>56</v>
      </c>
      <c r="AX46" s="159" t="s">
        <v>57</v>
      </c>
      <c r="AY46" s="159" t="s">
        <v>58</v>
      </c>
      <c r="AZ46" s="159" t="s">
        <v>0</v>
      </c>
      <c r="BA46" s="159" t="s">
        <v>1</v>
      </c>
      <c r="BB46" s="159" t="s">
        <v>49</v>
      </c>
      <c r="BC46" s="159" t="s">
        <v>50</v>
      </c>
      <c r="BD46" s="159" t="s">
        <v>51</v>
      </c>
      <c r="BE46" s="159" t="s">
        <v>52</v>
      </c>
      <c r="BF46" s="159" t="s">
        <v>53</v>
      </c>
      <c r="BG46" s="159" t="s">
        <v>54</v>
      </c>
      <c r="BH46" s="159" t="s">
        <v>55</v>
      </c>
      <c r="BI46" s="159" t="s">
        <v>56</v>
      </c>
      <c r="BJ46" s="159" t="s">
        <v>57</v>
      </c>
      <c r="BK46" s="159" t="s">
        <v>58</v>
      </c>
      <c r="BL46" s="159" t="s">
        <v>0</v>
      </c>
      <c r="BM46" s="159" t="s">
        <v>1</v>
      </c>
      <c r="BN46" s="159" t="s">
        <v>49</v>
      </c>
      <c r="BO46" s="159" t="s">
        <v>50</v>
      </c>
      <c r="BP46" s="159" t="s">
        <v>51</v>
      </c>
      <c r="BQ46" s="159" t="s">
        <v>52</v>
      </c>
      <c r="BR46" s="159" t="s">
        <v>53</v>
      </c>
      <c r="BS46" s="159" t="s">
        <v>54</v>
      </c>
      <c r="BT46" s="159" t="s">
        <v>55</v>
      </c>
      <c r="BU46" s="159" t="s">
        <v>56</v>
      </c>
      <c r="BV46" s="159" t="s">
        <v>57</v>
      </c>
      <c r="BW46" s="159" t="s">
        <v>58</v>
      </c>
      <c r="BX46" s="159" t="s">
        <v>0</v>
      </c>
      <c r="BY46" s="159" t="s">
        <v>1</v>
      </c>
      <c r="BZ46" s="159" t="s">
        <v>49</v>
      </c>
      <c r="CA46" s="159" t="s">
        <v>50</v>
      </c>
      <c r="CB46" s="159" t="s">
        <v>51</v>
      </c>
      <c r="CC46" s="159" t="s">
        <v>52</v>
      </c>
      <c r="CD46" s="159" t="s">
        <v>53</v>
      </c>
      <c r="CE46" s="159" t="s">
        <v>54</v>
      </c>
      <c r="CF46" s="159" t="s">
        <v>55</v>
      </c>
      <c r="CG46" s="159" t="s">
        <v>56</v>
      </c>
      <c r="CH46" s="159" t="s">
        <v>57</v>
      </c>
      <c r="CI46" s="159" t="s">
        <v>58</v>
      </c>
      <c r="CJ46" s="159" t="s">
        <v>0</v>
      </c>
      <c r="CK46" s="159" t="s">
        <v>1</v>
      </c>
      <c r="CL46" s="159" t="s">
        <v>49</v>
      </c>
      <c r="CM46" s="159" t="s">
        <v>50</v>
      </c>
      <c r="CN46" s="159" t="s">
        <v>51</v>
      </c>
      <c r="CO46" s="159" t="s">
        <v>52</v>
      </c>
      <c r="CP46" s="159" t="s">
        <v>53</v>
      </c>
      <c r="CQ46" s="159" t="s">
        <v>54</v>
      </c>
      <c r="CR46" s="159" t="s">
        <v>55</v>
      </c>
      <c r="CS46" s="159" t="s">
        <v>56</v>
      </c>
      <c r="CT46" s="159" t="s">
        <v>57</v>
      </c>
      <c r="CU46" s="159" t="s">
        <v>58</v>
      </c>
      <c r="CV46" s="159" t="s">
        <v>0</v>
      </c>
      <c r="CW46" s="159" t="s">
        <v>1</v>
      </c>
      <c r="CX46" s="159" t="s">
        <v>49</v>
      </c>
      <c r="CY46" s="159" t="s">
        <v>50</v>
      </c>
      <c r="CZ46" s="159" t="s">
        <v>51</v>
      </c>
      <c r="DA46" s="159" t="s">
        <v>52</v>
      </c>
      <c r="DB46" s="159" t="s">
        <v>53</v>
      </c>
      <c r="DC46" s="159" t="s">
        <v>54</v>
      </c>
      <c r="DD46" s="159" t="s">
        <v>55</v>
      </c>
      <c r="DE46" s="159" t="s">
        <v>56</v>
      </c>
      <c r="DF46" s="159" t="s">
        <v>57</v>
      </c>
      <c r="DG46" s="159" t="s">
        <v>58</v>
      </c>
      <c r="DH46" s="159" t="s">
        <v>0</v>
      </c>
      <c r="DI46" s="159" t="s">
        <v>1</v>
      </c>
      <c r="DJ46" s="159" t="s">
        <v>49</v>
      </c>
      <c r="DK46" s="159" t="s">
        <v>50</v>
      </c>
      <c r="DL46" s="159" t="s">
        <v>51</v>
      </c>
      <c r="DM46" s="159" t="s">
        <v>52</v>
      </c>
      <c r="DN46" s="159" t="s">
        <v>53</v>
      </c>
      <c r="DO46" s="159" t="s">
        <v>54</v>
      </c>
      <c r="DP46" s="159" t="s">
        <v>55</v>
      </c>
      <c r="DQ46" s="159" t="s">
        <v>56</v>
      </c>
      <c r="DR46" s="159" t="s">
        <v>57</v>
      </c>
      <c r="DS46" s="159" t="s">
        <v>58</v>
      </c>
    </row>
    <row r="47" spans="3:123" x14ac:dyDescent="0.25">
      <c r="C47" s="543" t="s">
        <v>111</v>
      </c>
      <c r="D47" s="78">
        <f>ROUNDDOWN($E$39*'INGRESOS AFILIACIONES'!F13,0)</f>
        <v>1</v>
      </c>
      <c r="E47" s="78">
        <f>ROUNDDOWN($E$39*'INGRESOS AFILIACIONES'!G13,0)</f>
        <v>2</v>
      </c>
      <c r="F47" s="78">
        <f>ROUNDDOWN($E$39*'INGRESOS AFILIACIONES'!H13,0)</f>
        <v>2</v>
      </c>
      <c r="G47" s="78">
        <f>ROUNDDOWN($E$39*'INGRESOS AFILIACIONES'!I13,0)</f>
        <v>1</v>
      </c>
      <c r="H47" s="78">
        <f>ROUNDDOWN($E$39*'INGRESOS AFILIACIONES'!J13,0)</f>
        <v>1</v>
      </c>
      <c r="I47" s="78">
        <f>ROUNDDOWN($E$39*'INGRESOS AFILIACIONES'!K13,0)</f>
        <v>2</v>
      </c>
      <c r="J47" s="78">
        <f>ROUNDDOWN($E$39*'INGRESOS AFILIACIONES'!L13,0)</f>
        <v>2</v>
      </c>
      <c r="K47" s="78">
        <f>ROUNDDOWN($E$39*'INGRESOS AFILIACIONES'!M13,0)</f>
        <v>2</v>
      </c>
      <c r="L47" s="78">
        <f>ROUNDDOWN($E$39*'INGRESOS AFILIACIONES'!N13,0)</f>
        <v>2</v>
      </c>
      <c r="M47" s="78">
        <f>ROUNDDOWN($E$39*'INGRESOS AFILIACIONES'!O13,0)</f>
        <v>2</v>
      </c>
      <c r="N47" s="78">
        <f>ROUNDDOWN($E$39*'INGRESOS AFILIACIONES'!P13,0)</f>
        <v>2</v>
      </c>
      <c r="O47" s="78">
        <f>ROUNDDOWN($E$39*'INGRESOS AFILIACIONES'!Q13,0)</f>
        <v>2</v>
      </c>
      <c r="P47" s="78">
        <f>ROUNDDOWN($E$39*'INGRESOS AFILIACIONES'!R13,0)</f>
        <v>3</v>
      </c>
      <c r="Q47" s="78">
        <f>ROUNDDOWN($E$39*'INGRESOS AFILIACIONES'!S13,0)</f>
        <v>2</v>
      </c>
      <c r="R47" s="78">
        <f>ROUNDDOWN($E$39*'INGRESOS AFILIACIONES'!T13,0)</f>
        <v>2</v>
      </c>
      <c r="S47" s="78">
        <f>ROUNDDOWN($E$39*'INGRESOS AFILIACIONES'!U13,0)</f>
        <v>1</v>
      </c>
      <c r="T47" s="78">
        <f>ROUNDDOWN($E$39*'INGRESOS AFILIACIONES'!V13,0)</f>
        <v>1</v>
      </c>
      <c r="U47" s="78">
        <f>ROUNDDOWN($E$39*'INGRESOS AFILIACIONES'!W13,0)</f>
        <v>2</v>
      </c>
      <c r="V47" s="78">
        <f>ROUNDDOWN($E$39*'INGRESOS AFILIACIONES'!X13,0)</f>
        <v>2</v>
      </c>
      <c r="W47" s="78">
        <f>ROUNDDOWN($E$39*'INGRESOS AFILIACIONES'!Y13,0)</f>
        <v>2</v>
      </c>
      <c r="X47" s="78">
        <f>ROUNDDOWN($E$39*'INGRESOS AFILIACIONES'!Z13,0)</f>
        <v>2</v>
      </c>
      <c r="Y47" s="78">
        <f>ROUNDDOWN($E$39*'INGRESOS AFILIACIONES'!AA13,0)</f>
        <v>2</v>
      </c>
      <c r="Z47" s="78">
        <f>ROUNDDOWN($E$39*'INGRESOS AFILIACIONES'!AB13,0)</f>
        <v>2</v>
      </c>
      <c r="AA47" s="78">
        <f>ROUNDDOWN($E$39*'INGRESOS AFILIACIONES'!AC13,0)</f>
        <v>2</v>
      </c>
      <c r="AB47" s="78">
        <f>ROUNDDOWN($E$39*'INGRESOS AFILIACIONES'!AD13,0)</f>
        <v>3</v>
      </c>
      <c r="AC47" s="78">
        <f>ROUNDDOWN($E$39*'INGRESOS AFILIACIONES'!AE13,0)</f>
        <v>2</v>
      </c>
      <c r="AD47" s="78">
        <f>ROUNDDOWN($E$39*'INGRESOS AFILIACIONES'!AF13,0)</f>
        <v>2</v>
      </c>
      <c r="AE47" s="78">
        <f>ROUNDDOWN($E$39*'INGRESOS AFILIACIONES'!AG13,0)</f>
        <v>1</v>
      </c>
      <c r="AF47" s="78">
        <f>ROUNDDOWN($E$39*'INGRESOS AFILIACIONES'!AH13,0)</f>
        <v>1</v>
      </c>
      <c r="AG47" s="78">
        <f>ROUNDDOWN($E$39*'INGRESOS AFILIACIONES'!AI13,0)</f>
        <v>2</v>
      </c>
      <c r="AH47" s="78">
        <f>ROUNDDOWN($E$39*'INGRESOS AFILIACIONES'!AJ13,0)</f>
        <v>2</v>
      </c>
      <c r="AI47" s="78">
        <f>ROUNDDOWN($E$39*'INGRESOS AFILIACIONES'!AK13,0)</f>
        <v>2</v>
      </c>
      <c r="AJ47" s="78">
        <f>ROUNDDOWN($E$39*'INGRESOS AFILIACIONES'!AL13,0)</f>
        <v>2</v>
      </c>
      <c r="AK47" s="78">
        <f>ROUNDDOWN($E$39*'INGRESOS AFILIACIONES'!AM13,0)</f>
        <v>2</v>
      </c>
      <c r="AL47" s="78">
        <f>ROUNDDOWN($E$39*'INGRESOS AFILIACIONES'!AN13,0)</f>
        <v>2</v>
      </c>
      <c r="AM47" s="78">
        <f>ROUNDDOWN($E$39*'INGRESOS AFILIACIONES'!AO13,0)</f>
        <v>2</v>
      </c>
      <c r="AN47" s="78">
        <f>ROUNDDOWN($E$39*'INGRESOS AFILIACIONES'!AP13,0)</f>
        <v>3</v>
      </c>
      <c r="AO47" s="78">
        <f>ROUNDDOWN($E$39*'INGRESOS AFILIACIONES'!AQ13,0)</f>
        <v>3</v>
      </c>
      <c r="AP47" s="78">
        <f>ROUNDDOWN($E$39*'INGRESOS AFILIACIONES'!AR13,0)</f>
        <v>2</v>
      </c>
      <c r="AQ47" s="78">
        <f>ROUNDDOWN($E$39*'INGRESOS AFILIACIONES'!AS13,0)</f>
        <v>1</v>
      </c>
      <c r="AR47" s="78">
        <f>ROUNDDOWN($E$39*'INGRESOS AFILIACIONES'!AT13,0)</f>
        <v>1</v>
      </c>
      <c r="AS47" s="78">
        <f>ROUNDDOWN($E$39*'INGRESOS AFILIACIONES'!AU13,0)</f>
        <v>2</v>
      </c>
      <c r="AT47" s="78">
        <f>ROUNDDOWN($E$39*'INGRESOS AFILIACIONES'!AV13,0)</f>
        <v>2</v>
      </c>
      <c r="AU47" s="78">
        <f>ROUNDDOWN($E$39*'INGRESOS AFILIACIONES'!AW13,0)</f>
        <v>3</v>
      </c>
      <c r="AV47" s="78">
        <f>ROUNDDOWN($E$39*'INGRESOS AFILIACIONES'!AX13,0)</f>
        <v>3</v>
      </c>
      <c r="AW47" s="78">
        <f>ROUNDDOWN($E$39*'INGRESOS AFILIACIONES'!AY13,0)</f>
        <v>2</v>
      </c>
      <c r="AX47" s="78">
        <f>ROUNDDOWN($E$39*'INGRESOS AFILIACIONES'!AZ13,0)</f>
        <v>2</v>
      </c>
      <c r="AY47" s="78">
        <f>ROUNDDOWN($E$39*'INGRESOS AFILIACIONES'!BA13,0)</f>
        <v>2</v>
      </c>
      <c r="AZ47" s="78">
        <f>ROUNDDOWN($E$39*'INGRESOS AFILIACIONES'!BB13,0)</f>
        <v>3</v>
      </c>
      <c r="BA47" s="78">
        <f>ROUNDDOWN($E$39*'INGRESOS AFILIACIONES'!BC13,0)</f>
        <v>3</v>
      </c>
      <c r="BB47" s="78">
        <f>ROUNDDOWN($E$39*'INGRESOS AFILIACIONES'!BD13,0)</f>
        <v>2</v>
      </c>
      <c r="BC47" s="78">
        <f>ROUNDDOWN($E$39*'INGRESOS AFILIACIONES'!BE13,0)</f>
        <v>2</v>
      </c>
      <c r="BD47" s="78">
        <f>ROUNDDOWN($E$39*'INGRESOS AFILIACIONES'!BF13,0)</f>
        <v>2</v>
      </c>
      <c r="BE47" s="78">
        <f>ROUNDDOWN($E$39*'INGRESOS AFILIACIONES'!BG13,0)</f>
        <v>2</v>
      </c>
      <c r="BF47" s="78">
        <f>ROUNDDOWN($E$39*'INGRESOS AFILIACIONES'!BH13,0)</f>
        <v>3</v>
      </c>
      <c r="BG47" s="78">
        <f>ROUNDDOWN($E$39*'INGRESOS AFILIACIONES'!BI13,0)</f>
        <v>3</v>
      </c>
      <c r="BH47" s="78">
        <f>ROUNDDOWN($E$39*'INGRESOS AFILIACIONES'!BJ13,0)</f>
        <v>3</v>
      </c>
      <c r="BI47" s="78">
        <f>ROUNDDOWN($E$39*'INGRESOS AFILIACIONES'!BK13,0)</f>
        <v>3</v>
      </c>
      <c r="BJ47" s="78">
        <f>ROUNDDOWN($E$39*'INGRESOS AFILIACIONES'!BL13,0)</f>
        <v>2</v>
      </c>
      <c r="BK47" s="78">
        <f>ROUNDDOWN($E$39*'INGRESOS AFILIACIONES'!BM13,0)</f>
        <v>2</v>
      </c>
      <c r="BL47" s="78">
        <f>ROUNDDOWN($E$39*'INGRESOS AFILIACIONES'!BN13,0)</f>
        <v>4</v>
      </c>
      <c r="BM47" s="78">
        <f>ROUNDDOWN($E$39*'INGRESOS AFILIACIONES'!BO13,0)</f>
        <v>3</v>
      </c>
      <c r="BN47" s="78">
        <f>ROUNDDOWN($E$39*'INGRESOS AFILIACIONES'!BP13,0)</f>
        <v>2</v>
      </c>
      <c r="BO47" s="78">
        <f>ROUNDDOWN($E$39*'INGRESOS AFILIACIONES'!BQ13,0)</f>
        <v>2</v>
      </c>
      <c r="BP47" s="78">
        <f>ROUNDDOWN($E$39*'INGRESOS AFILIACIONES'!BR13,0)</f>
        <v>2</v>
      </c>
      <c r="BQ47" s="78">
        <f>ROUNDDOWN($E$39*'INGRESOS AFILIACIONES'!BS13,0)</f>
        <v>2</v>
      </c>
      <c r="BR47" s="78">
        <f>ROUNDDOWN($E$39*'INGRESOS AFILIACIONES'!BT13,0)</f>
        <v>3</v>
      </c>
      <c r="BS47" s="78">
        <f>ROUNDDOWN($E$39*'INGRESOS AFILIACIONES'!BU13,0)</f>
        <v>3</v>
      </c>
      <c r="BT47" s="78">
        <f>ROUNDDOWN($E$39*'INGRESOS AFILIACIONES'!BV13,0)</f>
        <v>3</v>
      </c>
      <c r="BU47" s="78">
        <f>ROUNDDOWN($E$39*'INGRESOS AFILIACIONES'!BW13,0)</f>
        <v>3</v>
      </c>
      <c r="BV47" s="78">
        <f>ROUNDDOWN($E$39*'INGRESOS AFILIACIONES'!BX13,0)</f>
        <v>2</v>
      </c>
      <c r="BW47" s="78">
        <f>ROUNDDOWN($E$39*'INGRESOS AFILIACIONES'!BY13,0)</f>
        <v>2</v>
      </c>
      <c r="BX47" s="78">
        <f>ROUNDDOWN($E$39*'INGRESOS AFILIACIONES'!BZ13,0)</f>
        <v>4</v>
      </c>
      <c r="BY47" s="78">
        <f>ROUNDDOWN($E$39*'INGRESOS AFILIACIONES'!CA13,0)</f>
        <v>3</v>
      </c>
      <c r="BZ47" s="78">
        <f>ROUNDDOWN($E$39*'INGRESOS AFILIACIONES'!CB13,0)</f>
        <v>3</v>
      </c>
      <c r="CA47" s="78">
        <f>ROUNDDOWN($E$39*'INGRESOS AFILIACIONES'!CC13,0)</f>
        <v>2</v>
      </c>
      <c r="CB47" s="78">
        <f>ROUNDDOWN($E$39*'INGRESOS AFILIACIONES'!CD13,0)</f>
        <v>2</v>
      </c>
      <c r="CC47" s="78">
        <f>ROUNDDOWN($E$39*'INGRESOS AFILIACIONES'!CE13,0)</f>
        <v>2</v>
      </c>
      <c r="CD47" s="78">
        <f>ROUNDDOWN($E$39*'INGRESOS AFILIACIONES'!CF13,0)</f>
        <v>3</v>
      </c>
      <c r="CE47" s="78">
        <f>ROUNDDOWN($E$39*'INGRESOS AFILIACIONES'!CG13,0)</f>
        <v>3</v>
      </c>
      <c r="CF47" s="78">
        <f>ROUNDDOWN($E$39*'INGRESOS AFILIACIONES'!CH13,0)</f>
        <v>3</v>
      </c>
      <c r="CG47" s="78">
        <f>ROUNDDOWN($E$39*'INGRESOS AFILIACIONES'!CI13,0)</f>
        <v>3</v>
      </c>
      <c r="CH47" s="78">
        <f>ROUNDDOWN($E$39*'INGRESOS AFILIACIONES'!CJ13,0)</f>
        <v>3</v>
      </c>
      <c r="CI47" s="78">
        <f>ROUNDDOWN($E$39*'INGRESOS AFILIACIONES'!CK13,0)</f>
        <v>2</v>
      </c>
      <c r="CJ47" s="78">
        <f>ROUNDDOWN($E$39*'INGRESOS AFILIACIONES'!CL13,0)</f>
        <v>4</v>
      </c>
      <c r="CK47" s="78">
        <f>ROUNDDOWN($E$39*'INGRESOS AFILIACIONES'!CM13,0)</f>
        <v>4</v>
      </c>
      <c r="CL47" s="78">
        <f>ROUNDDOWN($E$39*'INGRESOS AFILIACIONES'!CN13,0)</f>
        <v>3</v>
      </c>
      <c r="CM47" s="78">
        <f>ROUNDDOWN($E$39*'INGRESOS AFILIACIONES'!CO13,0)</f>
        <v>2</v>
      </c>
      <c r="CN47" s="78">
        <f>ROUNDDOWN($E$39*'INGRESOS AFILIACIONES'!CP13,0)</f>
        <v>2</v>
      </c>
      <c r="CO47" s="78">
        <f>ROUNDDOWN($E$39*'INGRESOS AFILIACIONES'!CQ13,0)</f>
        <v>3</v>
      </c>
      <c r="CP47" s="78">
        <f>ROUNDDOWN($E$39*'INGRESOS AFILIACIONES'!CR13,0)</f>
        <v>3</v>
      </c>
      <c r="CQ47" s="78">
        <f>ROUNDDOWN($E$39*'INGRESOS AFILIACIONES'!CS13,0)</f>
        <v>3</v>
      </c>
      <c r="CR47" s="78">
        <f>ROUNDDOWN($E$39*'INGRESOS AFILIACIONES'!CT13,0)</f>
        <v>4</v>
      </c>
      <c r="CS47" s="78">
        <f>ROUNDDOWN($E$39*'INGRESOS AFILIACIONES'!CU13,0)</f>
        <v>3</v>
      </c>
      <c r="CT47" s="78">
        <f>ROUNDDOWN($E$39*'INGRESOS AFILIACIONES'!CV13,0)</f>
        <v>3</v>
      </c>
      <c r="CU47" s="78">
        <f>ROUNDDOWN($E$39*'INGRESOS AFILIACIONES'!CW13,0)</f>
        <v>3</v>
      </c>
      <c r="CV47" s="78">
        <f>ROUNDDOWN($E$39*'INGRESOS AFILIACIONES'!CX13,0)</f>
        <v>4</v>
      </c>
      <c r="CW47" s="78">
        <f>ROUNDDOWN($E$39*'INGRESOS AFILIACIONES'!CY13,0)</f>
        <v>4</v>
      </c>
      <c r="CX47" s="78">
        <f>ROUNDDOWN($E$39*'INGRESOS AFILIACIONES'!CZ13,0)</f>
        <v>3</v>
      </c>
      <c r="CY47" s="78">
        <f>ROUNDDOWN($E$39*'INGRESOS AFILIACIONES'!DA13,0)</f>
        <v>2</v>
      </c>
      <c r="CZ47" s="78">
        <f>ROUNDDOWN($E$39*'INGRESOS AFILIACIONES'!DB13,0)</f>
        <v>2</v>
      </c>
      <c r="DA47" s="78">
        <f>ROUNDDOWN($E$39*'INGRESOS AFILIACIONES'!DC13,0)</f>
        <v>3</v>
      </c>
      <c r="DB47" s="78">
        <f>ROUNDDOWN($E$39*'INGRESOS AFILIACIONES'!DD13,0)</f>
        <v>4</v>
      </c>
      <c r="DC47" s="78">
        <f>ROUNDDOWN($E$39*'INGRESOS AFILIACIONES'!DE13,0)</f>
        <v>4</v>
      </c>
      <c r="DD47" s="78">
        <f>ROUNDDOWN($E$39*'INGRESOS AFILIACIONES'!DF13,0)</f>
        <v>4</v>
      </c>
      <c r="DE47" s="78">
        <f>ROUNDDOWN($E$39*'INGRESOS AFILIACIONES'!DG13,0)</f>
        <v>4</v>
      </c>
      <c r="DF47" s="78">
        <f>ROUNDDOWN($E$39*'INGRESOS AFILIACIONES'!DH13,0)</f>
        <v>3</v>
      </c>
      <c r="DG47" s="78">
        <f>ROUNDDOWN($E$39*'INGRESOS AFILIACIONES'!DI13,0)</f>
        <v>3</v>
      </c>
      <c r="DH47" s="78">
        <f>ROUNDDOWN($E$39*'INGRESOS AFILIACIONES'!DJ13,0)</f>
        <v>5</v>
      </c>
      <c r="DI47" s="78">
        <f>ROUNDDOWN($E$39*'INGRESOS AFILIACIONES'!DK13,0)</f>
        <v>4</v>
      </c>
      <c r="DJ47" s="78">
        <f>ROUNDDOWN($E$39*'INGRESOS AFILIACIONES'!DL13,0)</f>
        <v>3</v>
      </c>
      <c r="DK47" s="78">
        <f>ROUNDDOWN($E$39*'INGRESOS AFILIACIONES'!DM13,0)</f>
        <v>2</v>
      </c>
      <c r="DL47" s="78">
        <f>ROUNDDOWN($E$39*'INGRESOS AFILIACIONES'!DN13,0)</f>
        <v>2</v>
      </c>
      <c r="DM47" s="78">
        <f>ROUNDDOWN($E$39*'INGRESOS AFILIACIONES'!DO13,0)</f>
        <v>3</v>
      </c>
      <c r="DN47" s="78">
        <f>ROUNDDOWN($E$39*'INGRESOS AFILIACIONES'!DP13,0)</f>
        <v>4</v>
      </c>
      <c r="DO47" s="78">
        <f>ROUNDDOWN($E$39*'INGRESOS AFILIACIONES'!DQ13,0)</f>
        <v>4</v>
      </c>
      <c r="DP47" s="78">
        <f>ROUNDDOWN($E$39*'INGRESOS AFILIACIONES'!DR13,0)</f>
        <v>4</v>
      </c>
      <c r="DQ47" s="78">
        <f>ROUNDDOWN($E$39*'INGRESOS AFILIACIONES'!DS13,0)</f>
        <v>4</v>
      </c>
      <c r="DR47" s="78">
        <f>ROUNDDOWN($E$39*'INGRESOS AFILIACIONES'!DT13,0)</f>
        <v>3</v>
      </c>
      <c r="DS47" s="78">
        <f>ROUNDDOWN($E$39*'INGRESOS AFILIACIONES'!DU13,0)</f>
        <v>3</v>
      </c>
    </row>
    <row r="48" spans="3:123" x14ac:dyDescent="0.25">
      <c r="C48" s="543" t="s">
        <v>112</v>
      </c>
      <c r="D48" s="78">
        <f>ROUNDDOWN($E$39*'INGRESOS AFILIACIONES'!F14,0)</f>
        <v>0</v>
      </c>
      <c r="E48" s="78">
        <f>ROUNDDOWN($E$39*'INGRESOS AFILIACIONES'!G14,0)</f>
        <v>0</v>
      </c>
      <c r="F48" s="78">
        <f>ROUNDDOWN($E$39*'INGRESOS AFILIACIONES'!H14,0)</f>
        <v>0</v>
      </c>
      <c r="G48" s="78">
        <f>ROUNDDOWN($E$39*'INGRESOS AFILIACIONES'!I14,0)</f>
        <v>0</v>
      </c>
      <c r="H48" s="78">
        <f>ROUNDDOWN($E$39*'INGRESOS AFILIACIONES'!J14,0)</f>
        <v>0</v>
      </c>
      <c r="I48" s="78">
        <f>ROUNDDOWN($E$39*'INGRESOS AFILIACIONES'!K14,0)</f>
        <v>0</v>
      </c>
      <c r="J48" s="78">
        <f>ROUNDDOWN($E$39*'INGRESOS AFILIACIONES'!L14,0)</f>
        <v>0</v>
      </c>
      <c r="K48" s="78">
        <f>ROUNDDOWN($E$39*'INGRESOS AFILIACIONES'!M14,0)</f>
        <v>0</v>
      </c>
      <c r="L48" s="78">
        <f>ROUNDDOWN($E$39*'INGRESOS AFILIACIONES'!N14,0)</f>
        <v>0</v>
      </c>
      <c r="M48" s="78">
        <f>ROUNDDOWN($E$39*'INGRESOS AFILIACIONES'!O14,0)</f>
        <v>0</v>
      </c>
      <c r="N48" s="78">
        <f>ROUNDDOWN($E$39*'INGRESOS AFILIACIONES'!P14,0)</f>
        <v>0</v>
      </c>
      <c r="O48" s="78">
        <f>ROUNDDOWN($E$39*'INGRESOS AFILIACIONES'!Q14,0)</f>
        <v>0</v>
      </c>
      <c r="P48" s="78">
        <f>ROUNDDOWN($E$39*'INGRESOS AFILIACIONES'!R14,0)</f>
        <v>0</v>
      </c>
      <c r="Q48" s="78">
        <f>ROUNDDOWN($E$39*'INGRESOS AFILIACIONES'!S14,0)</f>
        <v>0</v>
      </c>
      <c r="R48" s="78">
        <f>ROUNDDOWN($E$39*'INGRESOS AFILIACIONES'!T14,0)</f>
        <v>0</v>
      </c>
      <c r="S48" s="78">
        <f>ROUNDDOWN($E$39*'INGRESOS AFILIACIONES'!U14,0)</f>
        <v>0</v>
      </c>
      <c r="T48" s="78">
        <f>ROUNDDOWN($E$39*'INGRESOS AFILIACIONES'!V14,0)</f>
        <v>0</v>
      </c>
      <c r="U48" s="78">
        <f>ROUNDDOWN($E$39*'INGRESOS AFILIACIONES'!W14,0)</f>
        <v>0</v>
      </c>
      <c r="V48" s="78">
        <f>ROUNDDOWN($E$39*'INGRESOS AFILIACIONES'!X14,0)</f>
        <v>0</v>
      </c>
      <c r="W48" s="78">
        <f>ROUNDDOWN($E$39*'INGRESOS AFILIACIONES'!Y14,0)</f>
        <v>0</v>
      </c>
      <c r="X48" s="78">
        <f>ROUNDDOWN($E$39*'INGRESOS AFILIACIONES'!Z14,0)</f>
        <v>0</v>
      </c>
      <c r="Y48" s="78">
        <f>ROUNDDOWN($E$39*'INGRESOS AFILIACIONES'!AA14,0)</f>
        <v>0</v>
      </c>
      <c r="Z48" s="78">
        <f>ROUNDDOWN($E$39*'INGRESOS AFILIACIONES'!AB14,0)</f>
        <v>0</v>
      </c>
      <c r="AA48" s="78">
        <f>ROUNDDOWN($E$39*'INGRESOS AFILIACIONES'!AC14,0)</f>
        <v>0</v>
      </c>
      <c r="AB48" s="78">
        <f>ROUNDDOWN($E$39*'INGRESOS AFILIACIONES'!AD14,0)</f>
        <v>0</v>
      </c>
      <c r="AC48" s="78">
        <f>ROUNDDOWN($E$39*'INGRESOS AFILIACIONES'!AE14,0)</f>
        <v>0</v>
      </c>
      <c r="AD48" s="78">
        <f>ROUNDDOWN($E$39*'INGRESOS AFILIACIONES'!AF14,0)</f>
        <v>0</v>
      </c>
      <c r="AE48" s="78">
        <f>ROUNDDOWN($E$39*'INGRESOS AFILIACIONES'!AG14,0)</f>
        <v>0</v>
      </c>
      <c r="AF48" s="78">
        <f>ROUNDDOWN($E$39*'INGRESOS AFILIACIONES'!AH14,0)</f>
        <v>0</v>
      </c>
      <c r="AG48" s="78">
        <f>ROUNDDOWN($E$39*'INGRESOS AFILIACIONES'!AI14,0)</f>
        <v>0</v>
      </c>
      <c r="AH48" s="78">
        <f>ROUNDDOWN($E$39*'INGRESOS AFILIACIONES'!AJ14,0)</f>
        <v>0</v>
      </c>
      <c r="AI48" s="78">
        <f>ROUNDDOWN($E$39*'INGRESOS AFILIACIONES'!AK14,0)</f>
        <v>0</v>
      </c>
      <c r="AJ48" s="78">
        <f>ROUNDDOWN($E$39*'INGRESOS AFILIACIONES'!AL14,0)</f>
        <v>0</v>
      </c>
      <c r="AK48" s="78">
        <f>ROUNDDOWN($E$39*'INGRESOS AFILIACIONES'!AM14,0)</f>
        <v>0</v>
      </c>
      <c r="AL48" s="78">
        <f>ROUNDDOWN($E$39*'INGRESOS AFILIACIONES'!AN14,0)</f>
        <v>0</v>
      </c>
      <c r="AM48" s="78">
        <f>ROUNDDOWN($E$39*'INGRESOS AFILIACIONES'!AO14,0)</f>
        <v>0</v>
      </c>
      <c r="AN48" s="78">
        <f>ROUNDDOWN($E$39*'INGRESOS AFILIACIONES'!AP14,0)</f>
        <v>1</v>
      </c>
      <c r="AO48" s="78">
        <f>ROUNDDOWN($E$39*'INGRESOS AFILIACIONES'!AQ14,0)</f>
        <v>0</v>
      </c>
      <c r="AP48" s="78">
        <f>ROUNDDOWN($E$39*'INGRESOS AFILIACIONES'!AR14,0)</f>
        <v>0</v>
      </c>
      <c r="AQ48" s="78">
        <f>ROUNDDOWN($E$39*'INGRESOS AFILIACIONES'!AS14,0)</f>
        <v>0</v>
      </c>
      <c r="AR48" s="78">
        <f>ROUNDDOWN($E$39*'INGRESOS AFILIACIONES'!AT14,0)</f>
        <v>0</v>
      </c>
      <c r="AS48" s="78">
        <f>ROUNDDOWN($E$39*'INGRESOS AFILIACIONES'!AU14,0)</f>
        <v>0</v>
      </c>
      <c r="AT48" s="78">
        <f>ROUNDDOWN($E$39*'INGRESOS AFILIACIONES'!AV14,0)</f>
        <v>0</v>
      </c>
      <c r="AU48" s="78">
        <f>ROUNDDOWN($E$39*'INGRESOS AFILIACIONES'!AW14,0)</f>
        <v>0</v>
      </c>
      <c r="AV48" s="78">
        <f>ROUNDDOWN($E$39*'INGRESOS AFILIACIONES'!AX14,0)</f>
        <v>0</v>
      </c>
      <c r="AW48" s="78">
        <f>ROUNDDOWN($E$39*'INGRESOS AFILIACIONES'!AY14,0)</f>
        <v>0</v>
      </c>
      <c r="AX48" s="78">
        <f>ROUNDDOWN($E$39*'INGRESOS AFILIACIONES'!AZ14,0)</f>
        <v>0</v>
      </c>
      <c r="AY48" s="78">
        <f>ROUNDDOWN($E$39*'INGRESOS AFILIACIONES'!BA14,0)</f>
        <v>0</v>
      </c>
      <c r="AZ48" s="78">
        <f>ROUNDDOWN($E$39*'INGRESOS AFILIACIONES'!BB14,0)</f>
        <v>1</v>
      </c>
      <c r="BA48" s="78">
        <f>ROUNDDOWN($E$39*'INGRESOS AFILIACIONES'!BC14,0)</f>
        <v>0</v>
      </c>
      <c r="BB48" s="78">
        <f>ROUNDDOWN($E$39*'INGRESOS AFILIACIONES'!BD14,0)</f>
        <v>0</v>
      </c>
      <c r="BC48" s="78">
        <f>ROUNDDOWN($E$39*'INGRESOS AFILIACIONES'!BE14,0)</f>
        <v>0</v>
      </c>
      <c r="BD48" s="78">
        <f>ROUNDDOWN($E$39*'INGRESOS AFILIACIONES'!BF14,0)</f>
        <v>0</v>
      </c>
      <c r="BE48" s="78">
        <f>ROUNDDOWN($E$39*'INGRESOS AFILIACIONES'!BG14,0)</f>
        <v>0</v>
      </c>
      <c r="BF48" s="78">
        <f>ROUNDDOWN($E$39*'INGRESOS AFILIACIONES'!BH14,0)</f>
        <v>0</v>
      </c>
      <c r="BG48" s="78">
        <f>ROUNDDOWN($E$39*'INGRESOS AFILIACIONES'!BI14,0)</f>
        <v>0</v>
      </c>
      <c r="BH48" s="78">
        <f>ROUNDDOWN($E$39*'INGRESOS AFILIACIONES'!BJ14,0)</f>
        <v>0</v>
      </c>
      <c r="BI48" s="78">
        <f>ROUNDDOWN($E$39*'INGRESOS AFILIACIONES'!BK14,0)</f>
        <v>0</v>
      </c>
      <c r="BJ48" s="78">
        <f>ROUNDDOWN($E$39*'INGRESOS AFILIACIONES'!BL14,0)</f>
        <v>0</v>
      </c>
      <c r="BK48" s="78">
        <f>ROUNDDOWN($E$39*'INGRESOS AFILIACIONES'!BM14,0)</f>
        <v>0</v>
      </c>
      <c r="BL48" s="78">
        <f>ROUNDDOWN($E$39*'INGRESOS AFILIACIONES'!BN14,0)</f>
        <v>1</v>
      </c>
      <c r="BM48" s="78">
        <f>ROUNDDOWN($E$39*'INGRESOS AFILIACIONES'!BO14,0)</f>
        <v>1</v>
      </c>
      <c r="BN48" s="78">
        <f>ROUNDDOWN($E$39*'INGRESOS AFILIACIONES'!BP14,0)</f>
        <v>0</v>
      </c>
      <c r="BO48" s="78">
        <f>ROUNDDOWN($E$39*'INGRESOS AFILIACIONES'!BQ14,0)</f>
        <v>0</v>
      </c>
      <c r="BP48" s="78">
        <f>ROUNDDOWN($E$39*'INGRESOS AFILIACIONES'!BR14,0)</f>
        <v>0</v>
      </c>
      <c r="BQ48" s="78">
        <f>ROUNDDOWN($E$39*'INGRESOS AFILIACIONES'!BS14,0)</f>
        <v>0</v>
      </c>
      <c r="BR48" s="78">
        <f>ROUNDDOWN($E$39*'INGRESOS AFILIACIONES'!BT14,0)</f>
        <v>0</v>
      </c>
      <c r="BS48" s="78">
        <f>ROUNDDOWN($E$39*'INGRESOS AFILIACIONES'!BU14,0)</f>
        <v>0</v>
      </c>
      <c r="BT48" s="78">
        <f>ROUNDDOWN($E$39*'INGRESOS AFILIACIONES'!BV14,0)</f>
        <v>1</v>
      </c>
      <c r="BU48" s="78">
        <f>ROUNDDOWN($E$39*'INGRESOS AFILIACIONES'!BW14,0)</f>
        <v>0</v>
      </c>
      <c r="BV48" s="78">
        <f>ROUNDDOWN($E$39*'INGRESOS AFILIACIONES'!BX14,0)</f>
        <v>0</v>
      </c>
      <c r="BW48" s="78">
        <f>ROUNDDOWN($E$39*'INGRESOS AFILIACIONES'!BY14,0)</f>
        <v>0</v>
      </c>
      <c r="BX48" s="78">
        <f>ROUNDDOWN($E$39*'INGRESOS AFILIACIONES'!BZ14,0)</f>
        <v>1</v>
      </c>
      <c r="BY48" s="78">
        <f>ROUNDDOWN($E$39*'INGRESOS AFILIACIONES'!CA14,0)</f>
        <v>1</v>
      </c>
      <c r="BZ48" s="78">
        <f>ROUNDDOWN($E$39*'INGRESOS AFILIACIONES'!CB14,0)</f>
        <v>0</v>
      </c>
      <c r="CA48" s="78">
        <f>ROUNDDOWN($E$39*'INGRESOS AFILIACIONES'!CC14,0)</f>
        <v>0</v>
      </c>
      <c r="CB48" s="78">
        <f>ROUNDDOWN($E$39*'INGRESOS AFILIACIONES'!CD14,0)</f>
        <v>0</v>
      </c>
      <c r="CC48" s="78">
        <f>ROUNDDOWN($E$39*'INGRESOS AFILIACIONES'!CE14,0)</f>
        <v>0</v>
      </c>
      <c r="CD48" s="78">
        <f>ROUNDDOWN($E$39*'INGRESOS AFILIACIONES'!CF14,0)</f>
        <v>1</v>
      </c>
      <c r="CE48" s="78">
        <f>ROUNDDOWN($E$39*'INGRESOS AFILIACIONES'!CG14,0)</f>
        <v>1</v>
      </c>
      <c r="CF48" s="78">
        <f>ROUNDDOWN($E$39*'INGRESOS AFILIACIONES'!CH14,0)</f>
        <v>1</v>
      </c>
      <c r="CG48" s="78">
        <f>ROUNDDOWN($E$39*'INGRESOS AFILIACIONES'!CI14,0)</f>
        <v>1</v>
      </c>
      <c r="CH48" s="78">
        <f>ROUNDDOWN($E$39*'INGRESOS AFILIACIONES'!CJ14,0)</f>
        <v>0</v>
      </c>
      <c r="CI48" s="78">
        <f>ROUNDDOWN($E$39*'INGRESOS AFILIACIONES'!CK14,0)</f>
        <v>0</v>
      </c>
      <c r="CJ48" s="78">
        <f>ROUNDDOWN($E$39*'INGRESOS AFILIACIONES'!CL14,0)</f>
        <v>1</v>
      </c>
      <c r="CK48" s="78">
        <f>ROUNDDOWN($E$39*'INGRESOS AFILIACIONES'!CM14,0)</f>
        <v>1</v>
      </c>
      <c r="CL48" s="78">
        <f>ROUNDDOWN($E$39*'INGRESOS AFILIACIONES'!CN14,0)</f>
        <v>0</v>
      </c>
      <c r="CM48" s="78">
        <f>ROUNDDOWN($E$39*'INGRESOS AFILIACIONES'!CO14,0)</f>
        <v>0</v>
      </c>
      <c r="CN48" s="78">
        <f>ROUNDDOWN($E$39*'INGRESOS AFILIACIONES'!CP14,0)</f>
        <v>0</v>
      </c>
      <c r="CO48" s="78">
        <f>ROUNDDOWN($E$39*'INGRESOS AFILIACIONES'!CQ14,0)</f>
        <v>0</v>
      </c>
      <c r="CP48" s="78">
        <f>ROUNDDOWN($E$39*'INGRESOS AFILIACIONES'!CR14,0)</f>
        <v>1</v>
      </c>
      <c r="CQ48" s="78">
        <f>ROUNDDOWN($E$39*'INGRESOS AFILIACIONES'!CS14,0)</f>
        <v>1</v>
      </c>
      <c r="CR48" s="78">
        <f>ROUNDDOWN($E$39*'INGRESOS AFILIACIONES'!CT14,0)</f>
        <v>1</v>
      </c>
      <c r="CS48" s="78">
        <f>ROUNDDOWN($E$39*'INGRESOS AFILIACIONES'!CU14,0)</f>
        <v>1</v>
      </c>
      <c r="CT48" s="78">
        <f>ROUNDDOWN($E$39*'INGRESOS AFILIACIONES'!CV14,0)</f>
        <v>0</v>
      </c>
      <c r="CU48" s="78">
        <f>ROUNDDOWN($E$39*'INGRESOS AFILIACIONES'!CW14,0)</f>
        <v>0</v>
      </c>
      <c r="CV48" s="78">
        <f>ROUNDDOWN($E$39*'INGRESOS AFILIACIONES'!CX14,0)</f>
        <v>1</v>
      </c>
      <c r="CW48" s="78">
        <f>ROUNDDOWN($E$39*'INGRESOS AFILIACIONES'!CY14,0)</f>
        <v>1</v>
      </c>
      <c r="CX48" s="78">
        <f>ROUNDDOWN($E$39*'INGRESOS AFILIACIONES'!CZ14,0)</f>
        <v>1</v>
      </c>
      <c r="CY48" s="78">
        <f>ROUNDDOWN($E$39*'INGRESOS AFILIACIONES'!DA14,0)</f>
        <v>0</v>
      </c>
      <c r="CZ48" s="78">
        <f>ROUNDDOWN($E$39*'INGRESOS AFILIACIONES'!DB14,0)</f>
        <v>0</v>
      </c>
      <c r="DA48" s="78">
        <f>ROUNDDOWN($E$39*'INGRESOS AFILIACIONES'!DC14,0)</f>
        <v>0</v>
      </c>
      <c r="DB48" s="78">
        <f>ROUNDDOWN($E$39*'INGRESOS AFILIACIONES'!DD14,0)</f>
        <v>1</v>
      </c>
      <c r="DC48" s="78">
        <f>ROUNDDOWN($E$39*'INGRESOS AFILIACIONES'!DE14,0)</f>
        <v>1</v>
      </c>
      <c r="DD48" s="78">
        <f>ROUNDDOWN($E$39*'INGRESOS AFILIACIONES'!DF14,0)</f>
        <v>1</v>
      </c>
      <c r="DE48" s="78">
        <f>ROUNDDOWN($E$39*'INGRESOS AFILIACIONES'!DG14,0)</f>
        <v>1</v>
      </c>
      <c r="DF48" s="78">
        <f>ROUNDDOWN($E$39*'INGRESOS AFILIACIONES'!DH14,0)</f>
        <v>0</v>
      </c>
      <c r="DG48" s="78">
        <f>ROUNDDOWN($E$39*'INGRESOS AFILIACIONES'!DI14,0)</f>
        <v>0</v>
      </c>
      <c r="DH48" s="78">
        <f>ROUNDDOWN($E$39*'INGRESOS AFILIACIONES'!DJ14,0)</f>
        <v>1</v>
      </c>
      <c r="DI48" s="78">
        <f>ROUNDDOWN($E$39*'INGRESOS AFILIACIONES'!DK14,0)</f>
        <v>1</v>
      </c>
      <c r="DJ48" s="78">
        <f>ROUNDDOWN($E$39*'INGRESOS AFILIACIONES'!DL14,0)</f>
        <v>1</v>
      </c>
      <c r="DK48" s="78">
        <f>ROUNDDOWN($E$39*'INGRESOS AFILIACIONES'!DM14,0)</f>
        <v>0</v>
      </c>
      <c r="DL48" s="78">
        <f>ROUNDDOWN($E$39*'INGRESOS AFILIACIONES'!DN14,0)</f>
        <v>0</v>
      </c>
      <c r="DM48" s="78">
        <f>ROUNDDOWN($E$39*'INGRESOS AFILIACIONES'!DO14,0)</f>
        <v>1</v>
      </c>
      <c r="DN48" s="78">
        <f>ROUNDDOWN($E$39*'INGRESOS AFILIACIONES'!DP14,0)</f>
        <v>1</v>
      </c>
      <c r="DO48" s="78">
        <f>ROUNDDOWN($E$39*'INGRESOS AFILIACIONES'!DQ14,0)</f>
        <v>1</v>
      </c>
      <c r="DP48" s="78">
        <f>ROUNDDOWN($E$39*'INGRESOS AFILIACIONES'!DR14,0)</f>
        <v>1</v>
      </c>
      <c r="DQ48" s="78">
        <f>ROUNDDOWN($E$39*'INGRESOS AFILIACIONES'!DS14,0)</f>
        <v>1</v>
      </c>
      <c r="DR48" s="78">
        <f>ROUNDDOWN($E$39*'INGRESOS AFILIACIONES'!DT14,0)</f>
        <v>1</v>
      </c>
      <c r="DS48" s="78">
        <f>ROUNDDOWN($E$39*'INGRESOS AFILIACIONES'!DU14,0)</f>
        <v>1</v>
      </c>
    </row>
    <row r="49" spans="3:123" x14ac:dyDescent="0.25">
      <c r="C49" s="543" t="s">
        <v>114</v>
      </c>
      <c r="D49" s="78">
        <f>IF(SUM(D47:D48)&lt;$E$38-'INGRESOS AFILIACIONES'!F7,SUM(D47:D48),$E$38-'INGRESOS AFILIACIONES'!F7)</f>
        <v>1</v>
      </c>
      <c r="E49" s="78">
        <f>IF(SUM(E47:E48)&lt;$E$38-'INGRESOS AFILIACIONES'!G7,SUM(E47:E48),$E$38-'INGRESOS AFILIACIONES'!G7)</f>
        <v>2</v>
      </c>
      <c r="F49" s="78">
        <f>IF(SUM(F47:F48)&lt;$E$38-'INGRESOS AFILIACIONES'!H7,SUM(F47:F48),$E$38-'INGRESOS AFILIACIONES'!H7)</f>
        <v>2</v>
      </c>
      <c r="G49" s="78">
        <f>IF(SUM(G47:G48)&lt;$E$38-'INGRESOS AFILIACIONES'!I7,SUM(G47:G48),$E$38-'INGRESOS AFILIACIONES'!I7)</f>
        <v>1</v>
      </c>
      <c r="H49" s="78">
        <f>IF(SUM(H47:H48)&lt;$E$38-'INGRESOS AFILIACIONES'!J7,SUM(H47:H48),$E$38-'INGRESOS AFILIACIONES'!J7)</f>
        <v>1</v>
      </c>
      <c r="I49" s="78">
        <f>IF(SUM(I47:I48)&lt;$E$38-'INGRESOS AFILIACIONES'!K7,SUM(I47:I48),$E$38-'INGRESOS AFILIACIONES'!K7)</f>
        <v>2</v>
      </c>
      <c r="J49" s="78">
        <f>IF(SUM(J47:J48)&lt;$E$38-'INGRESOS AFILIACIONES'!L7,SUM(J47:J48),$E$38-'INGRESOS AFILIACIONES'!L7)</f>
        <v>2</v>
      </c>
      <c r="K49" s="78">
        <f>IF(SUM(K47:K48)&lt;$E$38-'INGRESOS AFILIACIONES'!M7,SUM(K47:K48),$E$38-'INGRESOS AFILIACIONES'!M7)</f>
        <v>2</v>
      </c>
      <c r="L49" s="78">
        <f>IF(SUM(L47:L48)&lt;$E$38-'INGRESOS AFILIACIONES'!N7,SUM(L47:L48),$E$38-'INGRESOS AFILIACIONES'!N7)</f>
        <v>2</v>
      </c>
      <c r="M49" s="78">
        <f>IF(SUM(M47:M48)&lt;$E$38-'INGRESOS AFILIACIONES'!O7,SUM(M47:M48),$E$38-'INGRESOS AFILIACIONES'!O7)</f>
        <v>2</v>
      </c>
      <c r="N49" s="78">
        <f>IF(SUM(N47:N48)&lt;$E$38-'INGRESOS AFILIACIONES'!P7,SUM(N47:N48),$E$38-'INGRESOS AFILIACIONES'!P7)</f>
        <v>2</v>
      </c>
      <c r="O49" s="78">
        <f>IF(SUM(O47:O48)&lt;$E$38-'INGRESOS AFILIACIONES'!Q7,SUM(O47:O48),$E$38-'INGRESOS AFILIACIONES'!Q7)</f>
        <v>2</v>
      </c>
      <c r="P49" s="78">
        <f>IF(SUM(P47:P48)&lt;$E$38-'INGRESOS AFILIACIONES'!R7,SUM(P47:P48),$E$38-'INGRESOS AFILIACIONES'!R7)</f>
        <v>3</v>
      </c>
      <c r="Q49" s="78">
        <f>IF(SUM(Q47:Q48)&lt;$E$38-'INGRESOS AFILIACIONES'!S7,SUM(Q47:Q48),$E$38-'INGRESOS AFILIACIONES'!S7)</f>
        <v>2</v>
      </c>
      <c r="R49" s="78">
        <f>IF(SUM(R47:R48)&lt;$E$38-'INGRESOS AFILIACIONES'!T7,SUM(R47:R48),$E$38-'INGRESOS AFILIACIONES'!T7)</f>
        <v>2</v>
      </c>
      <c r="S49" s="78">
        <f>IF(SUM(S47:S48)&lt;$E$38-'INGRESOS AFILIACIONES'!U7,SUM(S47:S48),$E$38-'INGRESOS AFILIACIONES'!U7)</f>
        <v>1</v>
      </c>
      <c r="T49" s="78">
        <f>IF(SUM(T47:T48)&lt;$E$38-'INGRESOS AFILIACIONES'!V7,SUM(T47:T48),$E$38-'INGRESOS AFILIACIONES'!V7)</f>
        <v>1</v>
      </c>
      <c r="U49" s="78">
        <f>IF(SUM(U47:U48)&lt;$E$38-'INGRESOS AFILIACIONES'!W7,SUM(U47:U48),$E$38-'INGRESOS AFILIACIONES'!W7)</f>
        <v>2</v>
      </c>
      <c r="V49" s="78">
        <f>IF(SUM(V47:V48)&lt;$E$38-'INGRESOS AFILIACIONES'!X7,SUM(V47:V48),$E$38-'INGRESOS AFILIACIONES'!X7)</f>
        <v>2</v>
      </c>
      <c r="W49" s="78">
        <f>IF(SUM(W47:W48)&lt;$E$38-'INGRESOS AFILIACIONES'!Y7,SUM(W47:W48),$E$38-'INGRESOS AFILIACIONES'!Y7)</f>
        <v>2</v>
      </c>
      <c r="X49" s="78">
        <f>IF(SUM(X47:X48)&lt;$E$38-'INGRESOS AFILIACIONES'!Z7,SUM(X47:X48),$E$38-'INGRESOS AFILIACIONES'!Z7)</f>
        <v>2</v>
      </c>
      <c r="Y49" s="78">
        <f>IF(SUM(Y47:Y48)&lt;$E$38-'INGRESOS AFILIACIONES'!AA7,SUM(Y47:Y48),$E$38-'INGRESOS AFILIACIONES'!AA7)</f>
        <v>2</v>
      </c>
      <c r="Z49" s="78">
        <f>IF(SUM(Z47:Z48)&lt;$E$38-'INGRESOS AFILIACIONES'!AB7,SUM(Z47:Z48),$E$38-'INGRESOS AFILIACIONES'!AB7)</f>
        <v>2</v>
      </c>
      <c r="AA49" s="78">
        <f>IF(SUM(AA47:AA48)&lt;$E$38-'INGRESOS AFILIACIONES'!AC7,SUM(AA47:AA48),$E$38-'INGRESOS AFILIACIONES'!AC7)</f>
        <v>2</v>
      </c>
      <c r="AB49" s="78">
        <f>IF(SUM(AB47:AB48)&lt;$E$38-'INGRESOS AFILIACIONES'!AD7,SUM(AB47:AB48),$E$38-'INGRESOS AFILIACIONES'!AD7)</f>
        <v>3</v>
      </c>
      <c r="AC49" s="78">
        <f>IF(SUM(AC47:AC48)&lt;$E$38-'INGRESOS AFILIACIONES'!AE7,SUM(AC47:AC48),$E$38-'INGRESOS AFILIACIONES'!AE7)</f>
        <v>2</v>
      </c>
      <c r="AD49" s="78">
        <f>IF(SUM(AD47:AD48)&lt;$E$38-'INGRESOS AFILIACIONES'!AF7,SUM(AD47:AD48),$E$38-'INGRESOS AFILIACIONES'!AF7)</f>
        <v>2</v>
      </c>
      <c r="AE49" s="78">
        <f>IF(SUM(AE47:AE48)&lt;$E$38-'INGRESOS AFILIACIONES'!AG7,SUM(AE47:AE48),$E$38-'INGRESOS AFILIACIONES'!AG7)</f>
        <v>1</v>
      </c>
      <c r="AF49" s="78">
        <f>IF(SUM(AF47:AF48)&lt;$E$38-'INGRESOS AFILIACIONES'!AH7,SUM(AF47:AF48),$E$38-'INGRESOS AFILIACIONES'!AH7)</f>
        <v>1</v>
      </c>
      <c r="AG49" s="78">
        <f>IF(SUM(AG47:AG48)&lt;$E$38-'INGRESOS AFILIACIONES'!AI7,SUM(AG47:AG48),$E$38-'INGRESOS AFILIACIONES'!AI7)</f>
        <v>2</v>
      </c>
      <c r="AH49" s="78">
        <f>IF(SUM(AH47:AH48)&lt;$E$38-'INGRESOS AFILIACIONES'!AJ7,SUM(AH47:AH48),$E$38-'INGRESOS AFILIACIONES'!AJ7)</f>
        <v>2</v>
      </c>
      <c r="AI49" s="78">
        <f>IF(SUM(AI47:AI48)&lt;$E$38-'INGRESOS AFILIACIONES'!AK7,SUM(AI47:AI48),$E$38-'INGRESOS AFILIACIONES'!AK7)</f>
        <v>2</v>
      </c>
      <c r="AJ49" s="78">
        <f>IF(SUM(AJ47:AJ48)&lt;$E$38-'INGRESOS AFILIACIONES'!AL7,SUM(AJ47:AJ48),$E$38-'INGRESOS AFILIACIONES'!AL7)</f>
        <v>2</v>
      </c>
      <c r="AK49" s="78">
        <f>IF(SUM(AK47:AK48)&lt;$E$38-'INGRESOS AFILIACIONES'!AM7,SUM(AK47:AK48),$E$38-'INGRESOS AFILIACIONES'!AM7)</f>
        <v>2</v>
      </c>
      <c r="AL49" s="78">
        <f>IF(SUM(AL47:AL48)&lt;$E$38-'INGRESOS AFILIACIONES'!AN7,SUM(AL47:AL48),$E$38-'INGRESOS AFILIACIONES'!AN7)</f>
        <v>2</v>
      </c>
      <c r="AM49" s="78">
        <f>IF(SUM(AM47:AM48)&lt;$E$38-'INGRESOS AFILIACIONES'!AO7,SUM(AM47:AM48),$E$38-'INGRESOS AFILIACIONES'!AO7)</f>
        <v>2</v>
      </c>
      <c r="AN49" s="78">
        <f>IF(SUM(AN47:AN48)&lt;$E$38-'INGRESOS AFILIACIONES'!AP7,SUM(AN47:AN48),$E$38-'INGRESOS AFILIACIONES'!AP7)</f>
        <v>4</v>
      </c>
      <c r="AO49" s="78">
        <f>IF(SUM(AO47:AO48)&lt;$E$38-'INGRESOS AFILIACIONES'!AQ7,SUM(AO47:AO48),$E$38-'INGRESOS AFILIACIONES'!AQ7)</f>
        <v>3</v>
      </c>
      <c r="AP49" s="78">
        <f>IF(SUM(AP47:AP48)&lt;$E$38-'INGRESOS AFILIACIONES'!AR7,SUM(AP47:AP48),$E$38-'INGRESOS AFILIACIONES'!AR7)</f>
        <v>2</v>
      </c>
      <c r="AQ49" s="78">
        <f>IF(SUM(AQ47:AQ48)&lt;$E$38-'INGRESOS AFILIACIONES'!AS7,SUM(AQ47:AQ48),$E$38-'INGRESOS AFILIACIONES'!AS7)</f>
        <v>1</v>
      </c>
      <c r="AR49" s="78">
        <f>IF(SUM(AR47:AR48)&lt;$E$38-'INGRESOS AFILIACIONES'!AT7,SUM(AR47:AR48),$E$38-'INGRESOS AFILIACIONES'!AT7)</f>
        <v>1</v>
      </c>
      <c r="AS49" s="78">
        <f>IF(SUM(AS47:AS48)&lt;$E$38-'INGRESOS AFILIACIONES'!AU7,SUM(AS47:AS48),$E$38-'INGRESOS AFILIACIONES'!AU7)</f>
        <v>2</v>
      </c>
      <c r="AT49" s="78">
        <f>IF(SUM(AT47:AT48)&lt;$E$38-'INGRESOS AFILIACIONES'!AV7,SUM(AT47:AT48),$E$38-'INGRESOS AFILIACIONES'!AV7)</f>
        <v>2</v>
      </c>
      <c r="AU49" s="78">
        <f>IF(SUM(AU47:AU48)&lt;$E$38-'INGRESOS AFILIACIONES'!AW7,SUM(AU47:AU48),$E$38-'INGRESOS AFILIACIONES'!AW7)</f>
        <v>3</v>
      </c>
      <c r="AV49" s="78">
        <f>IF(SUM(AV47:AV48)&lt;$E$38-'INGRESOS AFILIACIONES'!AX7,SUM(AV47:AV48),$E$38-'INGRESOS AFILIACIONES'!AX7)</f>
        <v>3</v>
      </c>
      <c r="AW49" s="78">
        <f>IF(SUM(AW47:AW48)&lt;$E$38-'INGRESOS AFILIACIONES'!AY7,SUM(AW47:AW48),$E$38-'INGRESOS AFILIACIONES'!AY7)</f>
        <v>2</v>
      </c>
      <c r="AX49" s="78">
        <f>IF(SUM(AX47:AX48)&lt;$E$38-'INGRESOS AFILIACIONES'!AZ7,SUM(AX47:AX48),$E$38-'INGRESOS AFILIACIONES'!AZ7)</f>
        <v>2</v>
      </c>
      <c r="AY49" s="78">
        <f>IF(SUM(AY47:AY48)&lt;$E$38-'INGRESOS AFILIACIONES'!BA7,SUM(AY47:AY48),$E$38-'INGRESOS AFILIACIONES'!BA7)</f>
        <v>2</v>
      </c>
      <c r="AZ49" s="78">
        <f>IF(SUM(AZ47:AZ48)&lt;$F$38-'INGRESOS AFILIACIONES'!BB7,SUM(AZ47:AZ48),$F$38-'INGRESOS AFILIACIONES'!BB7)</f>
        <v>4</v>
      </c>
      <c r="BA49" s="78">
        <f>IF(SUM(BA47:BA48)&lt;$F$38-'INGRESOS AFILIACIONES'!BC7,SUM(BA47:BA48),$F$38-'INGRESOS AFILIACIONES'!BC7)</f>
        <v>3</v>
      </c>
      <c r="BB49" s="78">
        <f>IF(SUM(BB47:BB48)&lt;$F$38-'INGRESOS AFILIACIONES'!BD7,SUM(BB47:BB48),$F$38-'INGRESOS AFILIACIONES'!BD7)</f>
        <v>2</v>
      </c>
      <c r="BC49" s="78">
        <f>IF(SUM(BC47:BC48)&lt;$F$38-'INGRESOS AFILIACIONES'!BE7,SUM(BC47:BC48),$F$38-'INGRESOS AFILIACIONES'!BE7)</f>
        <v>2</v>
      </c>
      <c r="BD49" s="78">
        <f>IF(SUM(BD47:BD48)&lt;$F$38-'INGRESOS AFILIACIONES'!BF7,SUM(BD47:BD48),$F$38-'INGRESOS AFILIACIONES'!BF7)</f>
        <v>2</v>
      </c>
      <c r="BE49" s="78">
        <f>IF(SUM(BE47:BE48)&lt;$F$38-'INGRESOS AFILIACIONES'!BG7,SUM(BE47:BE48),$F$38-'INGRESOS AFILIACIONES'!BG7)</f>
        <v>2</v>
      </c>
      <c r="BF49" s="78">
        <f>IF(SUM(BF47:BF48)&lt;$F$38-'INGRESOS AFILIACIONES'!BH7,SUM(BF47:BF48),$F$38-'INGRESOS AFILIACIONES'!BH7)</f>
        <v>3</v>
      </c>
      <c r="BG49" s="78">
        <f>IF(SUM(BG47:BG48)&lt;$F$38-'INGRESOS AFILIACIONES'!BI7,SUM(BG47:BG48),$F$38-'INGRESOS AFILIACIONES'!BI7)</f>
        <v>3</v>
      </c>
      <c r="BH49" s="78">
        <f>IF(SUM(BH47:BH48)&lt;$F$38-'INGRESOS AFILIACIONES'!BJ7,SUM(BH47:BH48),$F$38-'INGRESOS AFILIACIONES'!BJ7)</f>
        <v>3</v>
      </c>
      <c r="BI49" s="78">
        <f>IF(SUM(BI47:BI48)&lt;$F$38-'INGRESOS AFILIACIONES'!BK7,SUM(BI47:BI48),$F$38-'INGRESOS AFILIACIONES'!BK7)</f>
        <v>3</v>
      </c>
      <c r="BJ49" s="78">
        <f>IF(SUM(BJ47:BJ48)&lt;$F$38-'INGRESOS AFILIACIONES'!BL7,SUM(BJ47:BJ48),$F$38-'INGRESOS AFILIACIONES'!BL7)</f>
        <v>2</v>
      </c>
      <c r="BK49" s="78">
        <f>IF(SUM(BK47:BK48)&lt;$F$38-'INGRESOS AFILIACIONES'!BM7,SUM(BK47:BK48),$F$38-'INGRESOS AFILIACIONES'!BM7)</f>
        <v>2</v>
      </c>
      <c r="BL49" s="78">
        <f>IF(SUM(BL47:BL48)&lt;$F$38-'INGRESOS AFILIACIONES'!BN7,SUM(BL47:BL48),$F$38-'INGRESOS AFILIACIONES'!BN7)</f>
        <v>5</v>
      </c>
      <c r="BM49" s="78">
        <f>IF(SUM(BM47:BM48)&lt;$F$38-'INGRESOS AFILIACIONES'!BO7,SUM(BM47:BM48),$F$38-'INGRESOS AFILIACIONES'!BO7)</f>
        <v>4</v>
      </c>
      <c r="BN49" s="78">
        <f>IF(SUM(BN47:BN48)&lt;$F$38-'INGRESOS AFILIACIONES'!BP7,SUM(BN47:BN48),$F$38-'INGRESOS AFILIACIONES'!BP7)</f>
        <v>2</v>
      </c>
      <c r="BO49" s="78">
        <f>IF(SUM(BO47:BO48)&lt;$F$38-'INGRESOS AFILIACIONES'!BQ7,SUM(BO47:BO48),$F$38-'INGRESOS AFILIACIONES'!BQ7)</f>
        <v>2</v>
      </c>
      <c r="BP49" s="78">
        <f>IF(SUM(BP47:BP48)&lt;$F$38-'INGRESOS AFILIACIONES'!BR7,SUM(BP47:BP48),$F$38-'INGRESOS AFILIACIONES'!BR7)</f>
        <v>2</v>
      </c>
      <c r="BQ49" s="78">
        <f>IF(SUM(BQ47:BQ48)&lt;$F$38-'INGRESOS AFILIACIONES'!BS7,SUM(BQ47:BQ48),$F$38-'INGRESOS AFILIACIONES'!BS7)</f>
        <v>2</v>
      </c>
      <c r="BR49" s="78">
        <f>IF(SUM(BR47:BR48)&lt;$F$38-'INGRESOS AFILIACIONES'!BT7,SUM(BR47:BR48),$F$38-'INGRESOS AFILIACIONES'!BT7)</f>
        <v>3</v>
      </c>
      <c r="BS49" s="78">
        <f>IF(SUM(BS47:BS48)&lt;$F$38-'INGRESOS AFILIACIONES'!BU7,SUM(BS47:BS48),$F$38-'INGRESOS AFILIACIONES'!BU7)</f>
        <v>3</v>
      </c>
      <c r="BT49" s="78">
        <f>IF(SUM(BT47:BT48)&lt;$F$38-'INGRESOS AFILIACIONES'!BV7,SUM(BT47:BT48),$F$38-'INGRESOS AFILIACIONES'!BV7)</f>
        <v>4</v>
      </c>
      <c r="BU49" s="78">
        <f>IF(SUM(BU47:BU48)&lt;$F$38-'INGRESOS AFILIACIONES'!BW7,SUM(BU47:BU48),$F$38-'INGRESOS AFILIACIONES'!BW7)</f>
        <v>3</v>
      </c>
      <c r="BV49" s="78">
        <f>IF(SUM(BV47:BV48)&lt;$F$38-'INGRESOS AFILIACIONES'!BX7,SUM(BV47:BV48),$F$38-'INGRESOS AFILIACIONES'!BX7)</f>
        <v>2</v>
      </c>
      <c r="BW49" s="78">
        <f>IF(SUM(BW47:BW48)&lt;$F$38-'INGRESOS AFILIACIONES'!BY7,SUM(BW47:BW48),$F$38-'INGRESOS AFILIACIONES'!BY7)</f>
        <v>2</v>
      </c>
      <c r="BX49" s="78">
        <f>IF(SUM(BX47:BX48)&lt;$F$38-'INGRESOS AFILIACIONES'!BZ7,SUM(BX47:BX48),$F$38-'INGRESOS AFILIACIONES'!BZ7)</f>
        <v>5</v>
      </c>
      <c r="BY49" s="78">
        <f>IF(SUM(BY47:BY48)&lt;$F$38-'INGRESOS AFILIACIONES'!CA7,SUM(BY47:BY48),$F$38-'INGRESOS AFILIACIONES'!CA7)</f>
        <v>4</v>
      </c>
      <c r="BZ49" s="78">
        <f>IF(SUM(BZ47:BZ48)&lt;$F$38-'INGRESOS AFILIACIONES'!CB7,SUM(BZ47:BZ48),$F$38-'INGRESOS AFILIACIONES'!CB7)</f>
        <v>3</v>
      </c>
      <c r="CA49" s="78">
        <f>IF(SUM(CA47:CA48)&lt;$F$38-'INGRESOS AFILIACIONES'!CC7,SUM(CA47:CA48),$F$38-'INGRESOS AFILIACIONES'!CC7)</f>
        <v>2</v>
      </c>
      <c r="CB49" s="78">
        <f>IF(SUM(CB47:CB48)&lt;$F$38-'INGRESOS AFILIACIONES'!CD7,SUM(CB47:CB48),$F$38-'INGRESOS AFILIACIONES'!CD7)</f>
        <v>2</v>
      </c>
      <c r="CC49" s="78">
        <f>IF(SUM(CC47:CC48)&lt;$F$38-'INGRESOS AFILIACIONES'!CE7,SUM(CC47:CC48),$F$38-'INGRESOS AFILIACIONES'!CE7)</f>
        <v>2</v>
      </c>
      <c r="CD49" s="78">
        <f>IF(SUM(CD47:CD48)&lt;$F$38-'INGRESOS AFILIACIONES'!CF7,SUM(CD47:CD48),$F$38-'INGRESOS AFILIACIONES'!CF7)</f>
        <v>4</v>
      </c>
      <c r="CE49" s="78">
        <f>IF(SUM(CE47:CE48)&lt;$F$38-'INGRESOS AFILIACIONES'!CG7,SUM(CE47:CE48),$F$38-'INGRESOS AFILIACIONES'!CG7)</f>
        <v>4</v>
      </c>
      <c r="CF49" s="78">
        <f>IF(SUM(CF47:CF48)&lt;$F$38-'INGRESOS AFILIACIONES'!CH7,SUM(CF47:CF48),$F$38-'INGRESOS AFILIACIONES'!CH7)</f>
        <v>4</v>
      </c>
      <c r="CG49" s="78">
        <f>IF(SUM(CG47:CG48)&lt;$F$38-'INGRESOS AFILIACIONES'!CI7,SUM(CG47:CG48),$F$38-'INGRESOS AFILIACIONES'!CI7)</f>
        <v>4</v>
      </c>
      <c r="CH49" s="78">
        <f>IF(SUM(CH47:CH48)&lt;$F$38-'INGRESOS AFILIACIONES'!CJ7,SUM(CH47:CH48),$F$38-'INGRESOS AFILIACIONES'!CJ7)</f>
        <v>3</v>
      </c>
      <c r="CI49" s="78">
        <f>IF(SUM(CI47:CI48)&lt;$F$38-'INGRESOS AFILIACIONES'!CK7,SUM(CI47:CI48),$F$38-'INGRESOS AFILIACIONES'!CK7)</f>
        <v>2</v>
      </c>
      <c r="CJ49" s="78">
        <f>IF(SUM(CJ47:CJ48)&lt;$F$38-'INGRESOS AFILIACIONES'!CL7,SUM(CJ47:CJ48),$F$38-'INGRESOS AFILIACIONES'!CL7)</f>
        <v>5</v>
      </c>
      <c r="CK49" s="78">
        <f>IF(SUM(CK47:CK48)&lt;$F$38-'INGRESOS AFILIACIONES'!CM7,SUM(CK47:CK48),$F$38-'INGRESOS AFILIACIONES'!CM7)</f>
        <v>5</v>
      </c>
      <c r="CL49" s="78">
        <f>IF(SUM(CL47:CL48)&lt;$F$38-'INGRESOS AFILIACIONES'!CN7,SUM(CL47:CL48),$F$38-'INGRESOS AFILIACIONES'!CN7)</f>
        <v>3</v>
      </c>
      <c r="CM49" s="78">
        <f>IF(SUM(CM47:CM48)&lt;$F$38-'INGRESOS AFILIACIONES'!CO7,SUM(CM47:CM48),$F$38-'INGRESOS AFILIACIONES'!CO7)</f>
        <v>2</v>
      </c>
      <c r="CN49" s="78">
        <f>IF(SUM(CN47:CN48)&lt;$F$38-'INGRESOS AFILIACIONES'!CP7,SUM(CN47:CN48),$F$38-'INGRESOS AFILIACIONES'!CP7)</f>
        <v>2</v>
      </c>
      <c r="CO49" s="78">
        <f>IF(SUM(CO47:CO48)&lt;$F$38-'INGRESOS AFILIACIONES'!CQ7,SUM(CO47:CO48),$F$38-'INGRESOS AFILIACIONES'!CQ7)</f>
        <v>3</v>
      </c>
      <c r="CP49" s="78">
        <f>IF(SUM(CP47:CP48)&lt;$F$38-'INGRESOS AFILIACIONES'!CR7,SUM(CP47:CP48),$F$38-'INGRESOS AFILIACIONES'!CR7)</f>
        <v>4</v>
      </c>
      <c r="CQ49" s="78">
        <f>IF(SUM(CQ47:CQ48)&lt;$F$38-'INGRESOS AFILIACIONES'!CS7,SUM(CQ47:CQ48),$F$38-'INGRESOS AFILIACIONES'!CS7)</f>
        <v>4</v>
      </c>
      <c r="CR49" s="78">
        <f>IF(SUM(CR47:CR48)&lt;$F$38-'INGRESOS AFILIACIONES'!CT7,SUM(CR47:CR48),$F$38-'INGRESOS AFILIACIONES'!CT7)</f>
        <v>5</v>
      </c>
      <c r="CS49" s="78">
        <f>IF(SUM(CS47:CS48)&lt;$F$38-'INGRESOS AFILIACIONES'!CU7,SUM(CS47:CS48),$F$38-'INGRESOS AFILIACIONES'!CU7)</f>
        <v>4</v>
      </c>
      <c r="CT49" s="78">
        <f>IF(SUM(CT47:CT48)&lt;$F$38-'INGRESOS AFILIACIONES'!CV7,SUM(CT47:CT48),$F$38-'INGRESOS AFILIACIONES'!CV7)</f>
        <v>3</v>
      </c>
      <c r="CU49" s="78">
        <f>IF(SUM(CU47:CU48)&lt;$F$38-'INGRESOS AFILIACIONES'!CW7,SUM(CU47:CU48),$F$38-'INGRESOS AFILIACIONES'!CW7)</f>
        <v>3</v>
      </c>
      <c r="CV49" s="78">
        <f>IF(SUM(CV47:CV48)&lt;$F$38-'INGRESOS AFILIACIONES'!CX7,SUM(CV47:CV48),$F$38-'INGRESOS AFILIACIONES'!CX7)</f>
        <v>5</v>
      </c>
      <c r="CW49" s="78">
        <f>IF(SUM(CW47:CW48)&lt;$F$38-'INGRESOS AFILIACIONES'!CY7,SUM(CW47:CW48),$F$38-'INGRESOS AFILIACIONES'!CY7)</f>
        <v>5</v>
      </c>
      <c r="CX49" s="78">
        <f>IF(SUM(CX47:CX48)&lt;$F$38-'INGRESOS AFILIACIONES'!CZ7,SUM(CX47:CX48),$F$38-'INGRESOS AFILIACIONES'!CZ7)</f>
        <v>4</v>
      </c>
      <c r="CY49" s="78">
        <f>IF(SUM(CY47:CY48)&lt;$F$38-'INGRESOS AFILIACIONES'!DA7,SUM(CY47:CY48),$F$38-'INGRESOS AFILIACIONES'!DA7)</f>
        <v>2</v>
      </c>
      <c r="CZ49" s="78">
        <f>IF(SUM(CZ47:CZ48)&lt;$F$38-'INGRESOS AFILIACIONES'!DB7,SUM(CZ47:CZ48),$F$38-'INGRESOS AFILIACIONES'!DB7)</f>
        <v>2</v>
      </c>
      <c r="DA49" s="78">
        <f>IF(SUM(DA47:DA48)&lt;$F$38-'INGRESOS AFILIACIONES'!DC7,SUM(DA47:DA48),$F$38-'INGRESOS AFILIACIONES'!DC7)</f>
        <v>3</v>
      </c>
      <c r="DB49" s="78">
        <f>IF(SUM(DB47:DB48)&lt;$F$38-'INGRESOS AFILIACIONES'!DD7,SUM(DB47:DB48),$F$38-'INGRESOS AFILIACIONES'!DD7)</f>
        <v>5</v>
      </c>
      <c r="DC49" s="78">
        <f>IF(SUM(DC47:DC48)&lt;$F$38-'INGRESOS AFILIACIONES'!DE7,SUM(DC47:DC48),$F$38-'INGRESOS AFILIACIONES'!DE7)</f>
        <v>5</v>
      </c>
      <c r="DD49" s="78">
        <f>IF(SUM(DD47:DD48)&lt;$F$38-'INGRESOS AFILIACIONES'!DF7,SUM(DD47:DD48),$F$38-'INGRESOS AFILIACIONES'!DF7)</f>
        <v>5</v>
      </c>
      <c r="DE49" s="78">
        <f>IF(SUM(DE47:DE48)&lt;$F$38-'INGRESOS AFILIACIONES'!DG7,SUM(DE47:DE48),$F$38-'INGRESOS AFILIACIONES'!DG7)</f>
        <v>5</v>
      </c>
      <c r="DF49" s="78">
        <f>IF(SUM(DF47:DF48)&lt;$F$38-'INGRESOS AFILIACIONES'!DH7,SUM(DF47:DF48),$F$38-'INGRESOS AFILIACIONES'!DH7)</f>
        <v>3</v>
      </c>
      <c r="DG49" s="78">
        <f>IF(SUM(DG47:DG48)&lt;$F$38-'INGRESOS AFILIACIONES'!DI7,SUM(DG47:DG48),$F$38-'INGRESOS AFILIACIONES'!DI7)</f>
        <v>3</v>
      </c>
      <c r="DH49" s="78">
        <f>IF(SUM(DH47:DH48)&lt;$F$38-'INGRESOS AFILIACIONES'!DJ7,SUM(DH47:DH48),$F$38-'INGRESOS AFILIACIONES'!DJ7)</f>
        <v>6</v>
      </c>
      <c r="DI49" s="78">
        <f>IF(SUM(DI47:DI48)&lt;$F$38-'INGRESOS AFILIACIONES'!DK7,SUM(DI47:DI48),$F$38-'INGRESOS AFILIACIONES'!DK7)</f>
        <v>5</v>
      </c>
      <c r="DJ49" s="78">
        <f>IF(SUM(DJ47:DJ48)&lt;$F$38-'INGRESOS AFILIACIONES'!DL7,SUM(DJ47:DJ48),$F$38-'INGRESOS AFILIACIONES'!DL7)</f>
        <v>4</v>
      </c>
      <c r="DK49" s="78">
        <f>IF(SUM(DK47:DK48)&lt;$F$38-'INGRESOS AFILIACIONES'!DM7,SUM(DK47:DK48),$F$38-'INGRESOS AFILIACIONES'!DM7)</f>
        <v>2</v>
      </c>
      <c r="DL49" s="78">
        <f>IF(SUM(DL47:DL48)&lt;$F$38-'INGRESOS AFILIACIONES'!DN7,SUM(DL47:DL48),$F$38-'INGRESOS AFILIACIONES'!DN7)</f>
        <v>2</v>
      </c>
      <c r="DM49" s="78">
        <f>IF(SUM(DM47:DM48)&lt;$F$38-'INGRESOS AFILIACIONES'!DO7,SUM(DM47:DM48),$F$38-'INGRESOS AFILIACIONES'!DO7)</f>
        <v>4</v>
      </c>
      <c r="DN49" s="78">
        <f>IF(SUM(DN47:DN48)&lt;$F$38-'INGRESOS AFILIACIONES'!DP7,SUM(DN47:DN48),$F$38-'INGRESOS AFILIACIONES'!DP7)</f>
        <v>5</v>
      </c>
      <c r="DO49" s="78">
        <f>IF(SUM(DO47:DO48)&lt;$F$38-'INGRESOS AFILIACIONES'!DQ7,SUM(DO47:DO48),$F$38-'INGRESOS AFILIACIONES'!DQ7)</f>
        <v>5</v>
      </c>
      <c r="DP49" s="78">
        <f>IF(SUM(DP47:DP48)&lt;$F$38-'INGRESOS AFILIACIONES'!DR7,SUM(DP47:DP48),$F$38-'INGRESOS AFILIACIONES'!DR7)</f>
        <v>5</v>
      </c>
      <c r="DQ49" s="78">
        <f>IF(SUM(DQ47:DQ48)&lt;$F$38-'INGRESOS AFILIACIONES'!DS7,SUM(DQ47:DQ48),$F$38-'INGRESOS AFILIACIONES'!DS7)</f>
        <v>5</v>
      </c>
      <c r="DR49" s="78">
        <f>IF(SUM(DR47:DR48)&lt;$F$38-'INGRESOS AFILIACIONES'!DT7,SUM(DR47:DR48),$F$38-'INGRESOS AFILIACIONES'!DT7)</f>
        <v>4</v>
      </c>
      <c r="DS49" s="78">
        <f>IF(SUM(DS47:DS48)&lt;$F$38-'INGRESOS AFILIACIONES'!DU7,SUM(DS47:DS48),$F$38-'INGRESOS AFILIACIONES'!DU7)</f>
        <v>4</v>
      </c>
    </row>
    <row r="50" spans="3:123" x14ac:dyDescent="0.25">
      <c r="C50" s="540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77"/>
      <c r="CB50" s="77"/>
      <c r="CC50" s="77"/>
      <c r="CD50" s="77"/>
      <c r="CE50" s="77"/>
      <c r="CF50" s="77"/>
      <c r="CG50" s="77"/>
      <c r="CH50" s="77"/>
      <c r="CI50" s="77"/>
      <c r="CJ50" s="77"/>
      <c r="CK50" s="77"/>
      <c r="CL50" s="77"/>
      <c r="CM50" s="77"/>
      <c r="CN50" s="77"/>
      <c r="CO50" s="77"/>
      <c r="CP50" s="77"/>
      <c r="CQ50" s="77"/>
      <c r="CR50" s="77"/>
      <c r="CS50" s="77"/>
      <c r="CT50" s="77"/>
      <c r="CU50" s="77"/>
      <c r="CV50" s="77"/>
      <c r="CW50" s="77"/>
      <c r="CX50" s="77"/>
      <c r="CY50" s="77"/>
      <c r="CZ50" s="77"/>
      <c r="DA50" s="77"/>
      <c r="DB50" s="77"/>
      <c r="DC50" s="77"/>
      <c r="DD50" s="77"/>
      <c r="DE50" s="77"/>
      <c r="DF50" s="77"/>
      <c r="DG50" s="77"/>
      <c r="DH50" s="77"/>
      <c r="DI50" s="77"/>
      <c r="DJ50" s="77"/>
      <c r="DK50" s="77"/>
      <c r="DL50" s="77"/>
      <c r="DM50" s="77"/>
      <c r="DN50" s="77"/>
      <c r="DO50" s="77"/>
      <c r="DP50" s="77"/>
      <c r="DQ50" s="77"/>
      <c r="DR50" s="77"/>
      <c r="DS50" s="77"/>
    </row>
    <row r="51" spans="3:123" x14ac:dyDescent="0.25">
      <c r="C51" s="540"/>
      <c r="D51" s="540"/>
      <c r="E51" s="540"/>
      <c r="F51" s="540"/>
      <c r="G51" s="540"/>
      <c r="H51" s="540"/>
      <c r="I51" s="540"/>
      <c r="J51" s="540"/>
      <c r="K51" s="540"/>
      <c r="L51" s="540"/>
      <c r="M51" s="540"/>
      <c r="N51" s="540"/>
      <c r="O51" s="540"/>
      <c r="P51" s="540"/>
      <c r="Q51" s="540"/>
      <c r="R51" s="540"/>
      <c r="S51" s="540"/>
      <c r="T51" s="540"/>
      <c r="U51" s="540"/>
      <c r="V51" s="540"/>
      <c r="W51" s="540"/>
      <c r="X51" s="540"/>
      <c r="Y51" s="540"/>
      <c r="Z51" s="540"/>
      <c r="AA51" s="540"/>
      <c r="AB51" s="540"/>
      <c r="AC51" s="540"/>
      <c r="AD51" s="540"/>
      <c r="AE51" s="540"/>
      <c r="AF51" s="540"/>
      <c r="AG51" s="540"/>
      <c r="AH51" s="540"/>
      <c r="AI51" s="540"/>
      <c r="AJ51" s="540"/>
      <c r="AK51" s="540"/>
      <c r="AL51" s="540"/>
      <c r="AM51" s="540"/>
      <c r="AN51" s="540"/>
      <c r="AO51" s="540"/>
      <c r="AP51" s="540"/>
      <c r="AQ51" s="540"/>
      <c r="AR51" s="540"/>
      <c r="AS51" s="540"/>
      <c r="AT51" s="540"/>
      <c r="AU51" s="540"/>
      <c r="AV51" s="540"/>
      <c r="AW51" s="540"/>
      <c r="AX51" s="540"/>
      <c r="AY51" s="540"/>
      <c r="AZ51" s="540"/>
      <c r="BA51" s="540"/>
      <c r="BB51" s="540"/>
      <c r="BC51" s="540"/>
      <c r="BD51" s="540"/>
      <c r="BE51" s="540"/>
      <c r="BF51" s="540"/>
      <c r="BG51" s="540"/>
      <c r="BH51" s="540"/>
      <c r="BI51" s="540"/>
      <c r="BJ51" s="540"/>
      <c r="BK51" s="540"/>
      <c r="BL51" s="540"/>
      <c r="BM51" s="540"/>
      <c r="BN51" s="540"/>
      <c r="BO51" s="540"/>
      <c r="BP51" s="540"/>
      <c r="BQ51" s="540"/>
      <c r="BR51" s="540"/>
      <c r="BS51" s="540"/>
      <c r="BT51" s="540"/>
      <c r="BU51" s="540"/>
      <c r="BV51" s="540"/>
      <c r="BW51" s="540"/>
      <c r="BX51" s="540"/>
      <c r="BY51" s="540"/>
      <c r="BZ51" s="540"/>
      <c r="CA51" s="540"/>
      <c r="CB51" s="540"/>
      <c r="CC51" s="540"/>
      <c r="CD51" s="540"/>
      <c r="CE51" s="540"/>
      <c r="CF51" s="540"/>
      <c r="CG51" s="540"/>
      <c r="CH51" s="540"/>
      <c r="CI51" s="540"/>
      <c r="CJ51" s="540"/>
      <c r="CK51" s="540"/>
      <c r="CL51" s="540"/>
      <c r="CM51" s="540"/>
      <c r="CN51" s="540"/>
      <c r="CO51" s="540"/>
      <c r="CP51" s="540"/>
      <c r="CQ51" s="540"/>
      <c r="CR51" s="540"/>
      <c r="CS51" s="540"/>
      <c r="CT51" s="540"/>
      <c r="CU51" s="540"/>
      <c r="CV51" s="540"/>
      <c r="CW51" s="540"/>
      <c r="CX51" s="540"/>
      <c r="CY51" s="540"/>
      <c r="CZ51" s="540"/>
      <c r="DA51" s="540"/>
      <c r="DB51" s="540"/>
      <c r="DC51" s="540"/>
      <c r="DD51" s="540"/>
      <c r="DE51" s="540"/>
      <c r="DF51" s="540"/>
      <c r="DG51" s="540"/>
      <c r="DH51" s="540"/>
      <c r="DI51" s="540"/>
      <c r="DJ51" s="540"/>
      <c r="DK51" s="540"/>
      <c r="DL51" s="540"/>
      <c r="DM51" s="540"/>
      <c r="DN51" s="540"/>
      <c r="DO51" s="540"/>
      <c r="DP51" s="540"/>
      <c r="DQ51" s="540"/>
      <c r="DR51" s="540"/>
      <c r="DS51" s="540"/>
    </row>
    <row r="52" spans="3:123" x14ac:dyDescent="0.25">
      <c r="C52" s="799" t="s">
        <v>484</v>
      </c>
      <c r="D52" s="801"/>
      <c r="E52" s="85"/>
      <c r="F52" s="85"/>
      <c r="G52" s="85"/>
      <c r="H52" s="85"/>
      <c r="I52" s="85"/>
      <c r="J52" s="85"/>
      <c r="K52" s="85"/>
      <c r="L52" s="85"/>
      <c r="M52" s="85"/>
      <c r="N52" s="77"/>
      <c r="O52" s="77"/>
      <c r="P52" s="77"/>
      <c r="Q52" s="77"/>
      <c r="R52" s="77"/>
      <c r="S52" s="77"/>
      <c r="T52" s="77"/>
    </row>
    <row r="53" spans="3:123" x14ac:dyDescent="0.25">
      <c r="C53" s="538"/>
      <c r="D53" s="538"/>
      <c r="E53" s="85"/>
      <c r="F53" s="85"/>
      <c r="G53" s="85"/>
      <c r="H53" s="85"/>
      <c r="I53" s="85"/>
      <c r="J53" s="85"/>
      <c r="K53" s="85"/>
      <c r="L53" s="85"/>
      <c r="M53" s="85"/>
      <c r="N53" s="77"/>
      <c r="O53" s="77"/>
      <c r="P53" s="77"/>
      <c r="Q53" s="77"/>
      <c r="R53" s="77"/>
      <c r="S53" s="77"/>
      <c r="T53" s="77"/>
    </row>
    <row r="54" spans="3:123" ht="13.5" customHeight="1" x14ac:dyDescent="0.25">
      <c r="D54" s="799" t="s">
        <v>2</v>
      </c>
      <c r="E54" s="800"/>
      <c r="F54" s="800"/>
      <c r="G54" s="800"/>
      <c r="H54" s="800"/>
      <c r="I54" s="800"/>
      <c r="J54" s="800"/>
      <c r="K54" s="800"/>
      <c r="L54" s="800"/>
      <c r="M54" s="800"/>
      <c r="N54" s="800"/>
      <c r="O54" s="801"/>
      <c r="P54" s="799" t="s">
        <v>14</v>
      </c>
      <c r="Q54" s="800"/>
      <c r="R54" s="800"/>
      <c r="S54" s="800"/>
      <c r="T54" s="800"/>
      <c r="U54" s="800"/>
      <c r="V54" s="800"/>
      <c r="W54" s="800"/>
      <c r="X54" s="800"/>
      <c r="Y54" s="800"/>
      <c r="Z54" s="800"/>
      <c r="AA54" s="801"/>
      <c r="AB54" s="799" t="s">
        <v>15</v>
      </c>
      <c r="AC54" s="800"/>
      <c r="AD54" s="800"/>
      <c r="AE54" s="800"/>
      <c r="AF54" s="800"/>
      <c r="AG54" s="800"/>
      <c r="AH54" s="800"/>
      <c r="AI54" s="800"/>
      <c r="AJ54" s="800"/>
      <c r="AK54" s="800"/>
      <c r="AL54" s="800"/>
      <c r="AM54" s="801"/>
      <c r="AN54" s="799" t="s">
        <v>16</v>
      </c>
      <c r="AO54" s="800"/>
      <c r="AP54" s="800"/>
      <c r="AQ54" s="800"/>
      <c r="AR54" s="800"/>
      <c r="AS54" s="800"/>
      <c r="AT54" s="800"/>
      <c r="AU54" s="800"/>
      <c r="AV54" s="800"/>
      <c r="AW54" s="800"/>
      <c r="AX54" s="800"/>
      <c r="AY54" s="801"/>
      <c r="AZ54" s="799" t="s">
        <v>17</v>
      </c>
      <c r="BA54" s="800"/>
      <c r="BB54" s="800"/>
      <c r="BC54" s="800"/>
      <c r="BD54" s="800"/>
      <c r="BE54" s="800"/>
      <c r="BF54" s="800"/>
      <c r="BG54" s="800"/>
      <c r="BH54" s="800"/>
      <c r="BI54" s="800"/>
      <c r="BJ54" s="800"/>
      <c r="BK54" s="801"/>
      <c r="BL54" s="799" t="s">
        <v>18</v>
      </c>
      <c r="BM54" s="800"/>
      <c r="BN54" s="800"/>
      <c r="BO54" s="800"/>
      <c r="BP54" s="800"/>
      <c r="BQ54" s="800"/>
      <c r="BR54" s="800"/>
      <c r="BS54" s="800"/>
      <c r="BT54" s="800"/>
      <c r="BU54" s="800"/>
      <c r="BV54" s="800"/>
      <c r="BW54" s="801"/>
      <c r="BX54" s="799" t="s">
        <v>19</v>
      </c>
      <c r="BY54" s="800"/>
      <c r="BZ54" s="800"/>
      <c r="CA54" s="800"/>
      <c r="CB54" s="800"/>
      <c r="CC54" s="800"/>
      <c r="CD54" s="800"/>
      <c r="CE54" s="800"/>
      <c r="CF54" s="800"/>
      <c r="CG54" s="800"/>
      <c r="CH54" s="800"/>
      <c r="CI54" s="801"/>
      <c r="CJ54" s="799" t="s">
        <v>20</v>
      </c>
      <c r="CK54" s="800"/>
      <c r="CL54" s="800"/>
      <c r="CM54" s="800"/>
      <c r="CN54" s="800"/>
      <c r="CO54" s="800"/>
      <c r="CP54" s="800"/>
      <c r="CQ54" s="800"/>
      <c r="CR54" s="800"/>
      <c r="CS54" s="800"/>
      <c r="CT54" s="800"/>
      <c r="CU54" s="801"/>
      <c r="CV54" s="799" t="s">
        <v>21</v>
      </c>
      <c r="CW54" s="800"/>
      <c r="CX54" s="800"/>
      <c r="CY54" s="800"/>
      <c r="CZ54" s="800"/>
      <c r="DA54" s="800"/>
      <c r="DB54" s="800"/>
      <c r="DC54" s="800"/>
      <c r="DD54" s="800"/>
      <c r="DE54" s="800"/>
      <c r="DF54" s="800"/>
      <c r="DG54" s="801"/>
      <c r="DH54" s="799" t="s">
        <v>22</v>
      </c>
      <c r="DI54" s="800"/>
      <c r="DJ54" s="800"/>
      <c r="DK54" s="800"/>
      <c r="DL54" s="800"/>
      <c r="DM54" s="800"/>
      <c r="DN54" s="800"/>
      <c r="DO54" s="800"/>
      <c r="DP54" s="800"/>
      <c r="DQ54" s="800"/>
      <c r="DR54" s="800"/>
      <c r="DS54" s="801"/>
    </row>
    <row r="55" spans="3:123" x14ac:dyDescent="0.25">
      <c r="C55" s="530"/>
      <c r="D55" s="159" t="s">
        <v>0</v>
      </c>
      <c r="E55" s="159" t="s">
        <v>1</v>
      </c>
      <c r="F55" s="159" t="s">
        <v>49</v>
      </c>
      <c r="G55" s="159" t="s">
        <v>50</v>
      </c>
      <c r="H55" s="159" t="s">
        <v>51</v>
      </c>
      <c r="I55" s="159" t="s">
        <v>52</v>
      </c>
      <c r="J55" s="159" t="s">
        <v>53</v>
      </c>
      <c r="K55" s="159" t="s">
        <v>54</v>
      </c>
      <c r="L55" s="159" t="s">
        <v>55</v>
      </c>
      <c r="M55" s="159" t="s">
        <v>56</v>
      </c>
      <c r="N55" s="159" t="s">
        <v>57</v>
      </c>
      <c r="O55" s="159" t="s">
        <v>58</v>
      </c>
      <c r="P55" s="159" t="s">
        <v>0</v>
      </c>
      <c r="Q55" s="159" t="s">
        <v>1</v>
      </c>
      <c r="R55" s="159" t="s">
        <v>49</v>
      </c>
      <c r="S55" s="159" t="s">
        <v>50</v>
      </c>
      <c r="T55" s="159" t="s">
        <v>51</v>
      </c>
      <c r="U55" s="159" t="s">
        <v>52</v>
      </c>
      <c r="V55" s="159" t="s">
        <v>53</v>
      </c>
      <c r="W55" s="159" t="s">
        <v>54</v>
      </c>
      <c r="X55" s="159" t="s">
        <v>55</v>
      </c>
      <c r="Y55" s="159" t="s">
        <v>56</v>
      </c>
      <c r="Z55" s="159" t="s">
        <v>57</v>
      </c>
      <c r="AA55" s="159" t="s">
        <v>58</v>
      </c>
      <c r="AB55" s="159" t="s">
        <v>0</v>
      </c>
      <c r="AC55" s="159" t="s">
        <v>1</v>
      </c>
      <c r="AD55" s="159" t="s">
        <v>49</v>
      </c>
      <c r="AE55" s="159" t="s">
        <v>50</v>
      </c>
      <c r="AF55" s="159" t="s">
        <v>51</v>
      </c>
      <c r="AG55" s="159" t="s">
        <v>52</v>
      </c>
      <c r="AH55" s="159" t="s">
        <v>53</v>
      </c>
      <c r="AI55" s="159" t="s">
        <v>54</v>
      </c>
      <c r="AJ55" s="159" t="s">
        <v>55</v>
      </c>
      <c r="AK55" s="159" t="s">
        <v>56</v>
      </c>
      <c r="AL55" s="159" t="s">
        <v>57</v>
      </c>
      <c r="AM55" s="159" t="s">
        <v>58</v>
      </c>
      <c r="AN55" s="159" t="s">
        <v>0</v>
      </c>
      <c r="AO55" s="159" t="s">
        <v>1</v>
      </c>
      <c r="AP55" s="159" t="s">
        <v>49</v>
      </c>
      <c r="AQ55" s="159" t="s">
        <v>50</v>
      </c>
      <c r="AR55" s="159" t="s">
        <v>51</v>
      </c>
      <c r="AS55" s="159" t="s">
        <v>52</v>
      </c>
      <c r="AT55" s="159" t="s">
        <v>53</v>
      </c>
      <c r="AU55" s="159" t="s">
        <v>54</v>
      </c>
      <c r="AV55" s="159" t="s">
        <v>55</v>
      </c>
      <c r="AW55" s="159" t="s">
        <v>56</v>
      </c>
      <c r="AX55" s="159" t="s">
        <v>57</v>
      </c>
      <c r="AY55" s="159" t="s">
        <v>58</v>
      </c>
      <c r="AZ55" s="159" t="s">
        <v>0</v>
      </c>
      <c r="BA55" s="159" t="s">
        <v>1</v>
      </c>
      <c r="BB55" s="159" t="s">
        <v>49</v>
      </c>
      <c r="BC55" s="159" t="s">
        <v>50</v>
      </c>
      <c r="BD55" s="159" t="s">
        <v>51</v>
      </c>
      <c r="BE55" s="159" t="s">
        <v>52</v>
      </c>
      <c r="BF55" s="159" t="s">
        <v>53</v>
      </c>
      <c r="BG55" s="159" t="s">
        <v>54</v>
      </c>
      <c r="BH55" s="159" t="s">
        <v>55</v>
      </c>
      <c r="BI55" s="159" t="s">
        <v>56</v>
      </c>
      <c r="BJ55" s="159" t="s">
        <v>57</v>
      </c>
      <c r="BK55" s="159" t="s">
        <v>58</v>
      </c>
      <c r="BL55" s="159" t="s">
        <v>0</v>
      </c>
      <c r="BM55" s="159" t="s">
        <v>1</v>
      </c>
      <c r="BN55" s="159" t="s">
        <v>49</v>
      </c>
      <c r="BO55" s="159" t="s">
        <v>50</v>
      </c>
      <c r="BP55" s="159" t="s">
        <v>51</v>
      </c>
      <c r="BQ55" s="159" t="s">
        <v>52</v>
      </c>
      <c r="BR55" s="159" t="s">
        <v>53</v>
      </c>
      <c r="BS55" s="159" t="s">
        <v>54</v>
      </c>
      <c r="BT55" s="159" t="s">
        <v>55</v>
      </c>
      <c r="BU55" s="159" t="s">
        <v>56</v>
      </c>
      <c r="BV55" s="159" t="s">
        <v>57</v>
      </c>
      <c r="BW55" s="159" t="s">
        <v>58</v>
      </c>
      <c r="BX55" s="159" t="s">
        <v>0</v>
      </c>
      <c r="BY55" s="159" t="s">
        <v>1</v>
      </c>
      <c r="BZ55" s="159" t="s">
        <v>49</v>
      </c>
      <c r="CA55" s="159" t="s">
        <v>50</v>
      </c>
      <c r="CB55" s="159" t="s">
        <v>51</v>
      </c>
      <c r="CC55" s="159" t="s">
        <v>52</v>
      </c>
      <c r="CD55" s="159" t="s">
        <v>53</v>
      </c>
      <c r="CE55" s="159" t="s">
        <v>54</v>
      </c>
      <c r="CF55" s="159" t="s">
        <v>55</v>
      </c>
      <c r="CG55" s="159" t="s">
        <v>56</v>
      </c>
      <c r="CH55" s="159" t="s">
        <v>57</v>
      </c>
      <c r="CI55" s="159" t="s">
        <v>58</v>
      </c>
      <c r="CJ55" s="159" t="s">
        <v>0</v>
      </c>
      <c r="CK55" s="159" t="s">
        <v>1</v>
      </c>
      <c r="CL55" s="159" t="s">
        <v>49</v>
      </c>
      <c r="CM55" s="159" t="s">
        <v>50</v>
      </c>
      <c r="CN55" s="159" t="s">
        <v>51</v>
      </c>
      <c r="CO55" s="159" t="s">
        <v>52</v>
      </c>
      <c r="CP55" s="159" t="s">
        <v>53</v>
      </c>
      <c r="CQ55" s="159" t="s">
        <v>54</v>
      </c>
      <c r="CR55" s="159" t="s">
        <v>55</v>
      </c>
      <c r="CS55" s="159" t="s">
        <v>56</v>
      </c>
      <c r="CT55" s="159" t="s">
        <v>57</v>
      </c>
      <c r="CU55" s="159" t="s">
        <v>58</v>
      </c>
      <c r="CV55" s="159" t="s">
        <v>0</v>
      </c>
      <c r="CW55" s="159" t="s">
        <v>1</v>
      </c>
      <c r="CX55" s="159" t="s">
        <v>49</v>
      </c>
      <c r="CY55" s="159" t="s">
        <v>50</v>
      </c>
      <c r="CZ55" s="159" t="s">
        <v>51</v>
      </c>
      <c r="DA55" s="159" t="s">
        <v>52</v>
      </c>
      <c r="DB55" s="159" t="s">
        <v>53</v>
      </c>
      <c r="DC55" s="159" t="s">
        <v>54</v>
      </c>
      <c r="DD55" s="159" t="s">
        <v>55</v>
      </c>
      <c r="DE55" s="159" t="s">
        <v>56</v>
      </c>
      <c r="DF55" s="159" t="s">
        <v>57</v>
      </c>
      <c r="DG55" s="159" t="s">
        <v>58</v>
      </c>
      <c r="DH55" s="159" t="s">
        <v>0</v>
      </c>
      <c r="DI55" s="159" t="s">
        <v>1</v>
      </c>
      <c r="DJ55" s="159" t="s">
        <v>49</v>
      </c>
      <c r="DK55" s="159" t="s">
        <v>50</v>
      </c>
      <c r="DL55" s="159" t="s">
        <v>51</v>
      </c>
      <c r="DM55" s="159" t="s">
        <v>52</v>
      </c>
      <c r="DN55" s="159" t="s">
        <v>53</v>
      </c>
      <c r="DO55" s="159" t="s">
        <v>54</v>
      </c>
      <c r="DP55" s="159" t="s">
        <v>55</v>
      </c>
      <c r="DQ55" s="159" t="s">
        <v>56</v>
      </c>
      <c r="DR55" s="159" t="s">
        <v>57</v>
      </c>
      <c r="DS55" s="159" t="s">
        <v>58</v>
      </c>
    </row>
    <row r="56" spans="3:123" x14ac:dyDescent="0.25">
      <c r="C56" s="530"/>
      <c r="D56" s="84">
        <f>D47*$E$40</f>
        <v>93.220338983050851</v>
      </c>
      <c r="E56" s="84">
        <f>E47*$E$40</f>
        <v>186.4406779661017</v>
      </c>
      <c r="F56" s="84">
        <f t="shared" ref="F56:BQ56" si="2">F47*$E$40</f>
        <v>186.4406779661017</v>
      </c>
      <c r="G56" s="84">
        <f t="shared" si="2"/>
        <v>93.220338983050851</v>
      </c>
      <c r="H56" s="84">
        <f t="shared" si="2"/>
        <v>93.220338983050851</v>
      </c>
      <c r="I56" s="84">
        <f t="shared" si="2"/>
        <v>186.4406779661017</v>
      </c>
      <c r="J56" s="84">
        <f t="shared" si="2"/>
        <v>186.4406779661017</v>
      </c>
      <c r="K56" s="84">
        <f t="shared" si="2"/>
        <v>186.4406779661017</v>
      </c>
      <c r="L56" s="84">
        <f t="shared" si="2"/>
        <v>186.4406779661017</v>
      </c>
      <c r="M56" s="84">
        <f t="shared" si="2"/>
        <v>186.4406779661017</v>
      </c>
      <c r="N56" s="84">
        <f t="shared" si="2"/>
        <v>186.4406779661017</v>
      </c>
      <c r="O56" s="84">
        <f t="shared" si="2"/>
        <v>186.4406779661017</v>
      </c>
      <c r="P56" s="84">
        <f t="shared" si="2"/>
        <v>279.66101694915255</v>
      </c>
      <c r="Q56" s="84">
        <f t="shared" si="2"/>
        <v>186.4406779661017</v>
      </c>
      <c r="R56" s="84">
        <f t="shared" si="2"/>
        <v>186.4406779661017</v>
      </c>
      <c r="S56" s="84">
        <f t="shared" si="2"/>
        <v>93.220338983050851</v>
      </c>
      <c r="T56" s="84">
        <f t="shared" si="2"/>
        <v>93.220338983050851</v>
      </c>
      <c r="U56" s="84">
        <f t="shared" si="2"/>
        <v>186.4406779661017</v>
      </c>
      <c r="V56" s="84">
        <f t="shared" si="2"/>
        <v>186.4406779661017</v>
      </c>
      <c r="W56" s="84">
        <f t="shared" si="2"/>
        <v>186.4406779661017</v>
      </c>
      <c r="X56" s="84">
        <f t="shared" si="2"/>
        <v>186.4406779661017</v>
      </c>
      <c r="Y56" s="84">
        <f t="shared" si="2"/>
        <v>186.4406779661017</v>
      </c>
      <c r="Z56" s="84">
        <f t="shared" si="2"/>
        <v>186.4406779661017</v>
      </c>
      <c r="AA56" s="84">
        <f t="shared" si="2"/>
        <v>186.4406779661017</v>
      </c>
      <c r="AB56" s="84">
        <f t="shared" si="2"/>
        <v>279.66101694915255</v>
      </c>
      <c r="AC56" s="84">
        <f t="shared" si="2"/>
        <v>186.4406779661017</v>
      </c>
      <c r="AD56" s="84">
        <f t="shared" si="2"/>
        <v>186.4406779661017</v>
      </c>
      <c r="AE56" s="84">
        <f t="shared" si="2"/>
        <v>93.220338983050851</v>
      </c>
      <c r="AF56" s="84">
        <f t="shared" si="2"/>
        <v>93.220338983050851</v>
      </c>
      <c r="AG56" s="84">
        <f t="shared" si="2"/>
        <v>186.4406779661017</v>
      </c>
      <c r="AH56" s="84">
        <f t="shared" si="2"/>
        <v>186.4406779661017</v>
      </c>
      <c r="AI56" s="84">
        <f t="shared" si="2"/>
        <v>186.4406779661017</v>
      </c>
      <c r="AJ56" s="84">
        <f t="shared" si="2"/>
        <v>186.4406779661017</v>
      </c>
      <c r="AK56" s="84">
        <f t="shared" si="2"/>
        <v>186.4406779661017</v>
      </c>
      <c r="AL56" s="84">
        <f t="shared" si="2"/>
        <v>186.4406779661017</v>
      </c>
      <c r="AM56" s="84">
        <f t="shared" si="2"/>
        <v>186.4406779661017</v>
      </c>
      <c r="AN56" s="84">
        <f t="shared" si="2"/>
        <v>279.66101694915255</v>
      </c>
      <c r="AO56" s="84">
        <f t="shared" si="2"/>
        <v>279.66101694915255</v>
      </c>
      <c r="AP56" s="84">
        <f t="shared" si="2"/>
        <v>186.4406779661017</v>
      </c>
      <c r="AQ56" s="84">
        <f t="shared" si="2"/>
        <v>93.220338983050851</v>
      </c>
      <c r="AR56" s="84">
        <f t="shared" si="2"/>
        <v>93.220338983050851</v>
      </c>
      <c r="AS56" s="84">
        <f t="shared" si="2"/>
        <v>186.4406779661017</v>
      </c>
      <c r="AT56" s="84">
        <f t="shared" si="2"/>
        <v>186.4406779661017</v>
      </c>
      <c r="AU56" s="84">
        <f t="shared" si="2"/>
        <v>279.66101694915255</v>
      </c>
      <c r="AV56" s="84">
        <f t="shared" si="2"/>
        <v>279.66101694915255</v>
      </c>
      <c r="AW56" s="84">
        <f t="shared" si="2"/>
        <v>186.4406779661017</v>
      </c>
      <c r="AX56" s="84">
        <f t="shared" si="2"/>
        <v>186.4406779661017</v>
      </c>
      <c r="AY56" s="84">
        <f t="shared" si="2"/>
        <v>186.4406779661017</v>
      </c>
      <c r="AZ56" s="84">
        <f t="shared" si="2"/>
        <v>279.66101694915255</v>
      </c>
      <c r="BA56" s="84">
        <f t="shared" si="2"/>
        <v>279.66101694915255</v>
      </c>
      <c r="BB56" s="84">
        <f t="shared" si="2"/>
        <v>186.4406779661017</v>
      </c>
      <c r="BC56" s="84">
        <f t="shared" si="2"/>
        <v>186.4406779661017</v>
      </c>
      <c r="BD56" s="84">
        <f t="shared" si="2"/>
        <v>186.4406779661017</v>
      </c>
      <c r="BE56" s="84">
        <f t="shared" si="2"/>
        <v>186.4406779661017</v>
      </c>
      <c r="BF56" s="84">
        <f t="shared" si="2"/>
        <v>279.66101694915255</v>
      </c>
      <c r="BG56" s="84">
        <f t="shared" si="2"/>
        <v>279.66101694915255</v>
      </c>
      <c r="BH56" s="84">
        <f t="shared" si="2"/>
        <v>279.66101694915255</v>
      </c>
      <c r="BI56" s="84">
        <f t="shared" si="2"/>
        <v>279.66101694915255</v>
      </c>
      <c r="BJ56" s="84">
        <f t="shared" si="2"/>
        <v>186.4406779661017</v>
      </c>
      <c r="BK56" s="84">
        <f t="shared" si="2"/>
        <v>186.4406779661017</v>
      </c>
      <c r="BL56" s="84">
        <f t="shared" si="2"/>
        <v>372.88135593220341</v>
      </c>
      <c r="BM56" s="84">
        <f t="shared" si="2"/>
        <v>279.66101694915255</v>
      </c>
      <c r="BN56" s="84">
        <f t="shared" si="2"/>
        <v>186.4406779661017</v>
      </c>
      <c r="BO56" s="84">
        <f t="shared" si="2"/>
        <v>186.4406779661017</v>
      </c>
      <c r="BP56" s="84">
        <f t="shared" si="2"/>
        <v>186.4406779661017</v>
      </c>
      <c r="BQ56" s="84">
        <f t="shared" si="2"/>
        <v>186.4406779661017</v>
      </c>
      <c r="BR56" s="84">
        <f t="shared" ref="BR56:DS56" si="3">BR47*$E$40</f>
        <v>279.66101694915255</v>
      </c>
      <c r="BS56" s="84">
        <f t="shared" si="3"/>
        <v>279.66101694915255</v>
      </c>
      <c r="BT56" s="84">
        <f t="shared" si="3"/>
        <v>279.66101694915255</v>
      </c>
      <c r="BU56" s="84">
        <f t="shared" si="3"/>
        <v>279.66101694915255</v>
      </c>
      <c r="BV56" s="84">
        <f t="shared" si="3"/>
        <v>186.4406779661017</v>
      </c>
      <c r="BW56" s="84">
        <f t="shared" si="3"/>
        <v>186.4406779661017</v>
      </c>
      <c r="BX56" s="84">
        <f t="shared" si="3"/>
        <v>372.88135593220341</v>
      </c>
      <c r="BY56" s="84">
        <f t="shared" si="3"/>
        <v>279.66101694915255</v>
      </c>
      <c r="BZ56" s="84">
        <f t="shared" si="3"/>
        <v>279.66101694915255</v>
      </c>
      <c r="CA56" s="84">
        <f t="shared" si="3"/>
        <v>186.4406779661017</v>
      </c>
      <c r="CB56" s="84">
        <f t="shared" si="3"/>
        <v>186.4406779661017</v>
      </c>
      <c r="CC56" s="84">
        <f t="shared" si="3"/>
        <v>186.4406779661017</v>
      </c>
      <c r="CD56" s="84">
        <f t="shared" si="3"/>
        <v>279.66101694915255</v>
      </c>
      <c r="CE56" s="84">
        <f t="shared" si="3"/>
        <v>279.66101694915255</v>
      </c>
      <c r="CF56" s="84">
        <f t="shared" si="3"/>
        <v>279.66101694915255</v>
      </c>
      <c r="CG56" s="84">
        <f t="shared" si="3"/>
        <v>279.66101694915255</v>
      </c>
      <c r="CH56" s="84">
        <f t="shared" si="3"/>
        <v>279.66101694915255</v>
      </c>
      <c r="CI56" s="84">
        <f t="shared" si="3"/>
        <v>186.4406779661017</v>
      </c>
      <c r="CJ56" s="84">
        <f t="shared" si="3"/>
        <v>372.88135593220341</v>
      </c>
      <c r="CK56" s="84">
        <f t="shared" si="3"/>
        <v>372.88135593220341</v>
      </c>
      <c r="CL56" s="84">
        <f t="shared" si="3"/>
        <v>279.66101694915255</v>
      </c>
      <c r="CM56" s="84">
        <f t="shared" si="3"/>
        <v>186.4406779661017</v>
      </c>
      <c r="CN56" s="84">
        <f t="shared" si="3"/>
        <v>186.4406779661017</v>
      </c>
      <c r="CO56" s="84">
        <f t="shared" si="3"/>
        <v>279.66101694915255</v>
      </c>
      <c r="CP56" s="84">
        <f t="shared" si="3"/>
        <v>279.66101694915255</v>
      </c>
      <c r="CQ56" s="84">
        <f t="shared" si="3"/>
        <v>279.66101694915255</v>
      </c>
      <c r="CR56" s="84">
        <f t="shared" si="3"/>
        <v>372.88135593220341</v>
      </c>
      <c r="CS56" s="84">
        <f t="shared" si="3"/>
        <v>279.66101694915255</v>
      </c>
      <c r="CT56" s="84">
        <f t="shared" si="3"/>
        <v>279.66101694915255</v>
      </c>
      <c r="CU56" s="84">
        <f t="shared" si="3"/>
        <v>279.66101694915255</v>
      </c>
      <c r="CV56" s="84">
        <f t="shared" si="3"/>
        <v>372.88135593220341</v>
      </c>
      <c r="CW56" s="84">
        <f t="shared" si="3"/>
        <v>372.88135593220341</v>
      </c>
      <c r="CX56" s="84">
        <f t="shared" si="3"/>
        <v>279.66101694915255</v>
      </c>
      <c r="CY56" s="84">
        <f t="shared" si="3"/>
        <v>186.4406779661017</v>
      </c>
      <c r="CZ56" s="84">
        <f t="shared" si="3"/>
        <v>186.4406779661017</v>
      </c>
      <c r="DA56" s="84">
        <f t="shared" si="3"/>
        <v>279.66101694915255</v>
      </c>
      <c r="DB56" s="84">
        <f t="shared" si="3"/>
        <v>372.88135593220341</v>
      </c>
      <c r="DC56" s="84">
        <f t="shared" si="3"/>
        <v>372.88135593220341</v>
      </c>
      <c r="DD56" s="84">
        <f t="shared" si="3"/>
        <v>372.88135593220341</v>
      </c>
      <c r="DE56" s="84">
        <f t="shared" si="3"/>
        <v>372.88135593220341</v>
      </c>
      <c r="DF56" s="84">
        <f t="shared" si="3"/>
        <v>279.66101694915255</v>
      </c>
      <c r="DG56" s="84">
        <f t="shared" si="3"/>
        <v>279.66101694915255</v>
      </c>
      <c r="DH56" s="84">
        <f t="shared" si="3"/>
        <v>466.10169491525426</v>
      </c>
      <c r="DI56" s="84">
        <f t="shared" si="3"/>
        <v>372.88135593220341</v>
      </c>
      <c r="DJ56" s="84">
        <f t="shared" si="3"/>
        <v>279.66101694915255</v>
      </c>
      <c r="DK56" s="84">
        <f t="shared" si="3"/>
        <v>186.4406779661017</v>
      </c>
      <c r="DL56" s="84">
        <f t="shared" si="3"/>
        <v>186.4406779661017</v>
      </c>
      <c r="DM56" s="84">
        <f t="shared" si="3"/>
        <v>279.66101694915255</v>
      </c>
      <c r="DN56" s="84">
        <f t="shared" si="3"/>
        <v>372.88135593220341</v>
      </c>
      <c r="DO56" s="84">
        <f t="shared" si="3"/>
        <v>372.88135593220341</v>
      </c>
      <c r="DP56" s="84">
        <f t="shared" si="3"/>
        <v>372.88135593220341</v>
      </c>
      <c r="DQ56" s="84">
        <f t="shared" si="3"/>
        <v>372.88135593220341</v>
      </c>
      <c r="DR56" s="84">
        <f t="shared" si="3"/>
        <v>279.66101694915255</v>
      </c>
      <c r="DS56" s="84">
        <f t="shared" si="3"/>
        <v>279.66101694915255</v>
      </c>
    </row>
    <row r="57" spans="3:123" x14ac:dyDescent="0.25">
      <c r="H57" s="530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</row>
    <row r="58" spans="3:123" x14ac:dyDescent="0.25">
      <c r="H58" s="530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</row>
    <row r="59" spans="3:123" x14ac:dyDescent="0.25">
      <c r="D59" s="543" t="s">
        <v>2</v>
      </c>
      <c r="E59" s="543" t="s">
        <v>14</v>
      </c>
      <c r="F59" s="543" t="s">
        <v>15</v>
      </c>
      <c r="G59" s="543" t="s">
        <v>16</v>
      </c>
      <c r="H59" s="543" t="s">
        <v>17</v>
      </c>
      <c r="I59" s="543" t="s">
        <v>18</v>
      </c>
      <c r="J59" s="543" t="s">
        <v>19</v>
      </c>
      <c r="K59" s="543" t="s">
        <v>20</v>
      </c>
      <c r="L59" s="543" t="s">
        <v>21</v>
      </c>
      <c r="M59" s="543" t="s">
        <v>22</v>
      </c>
      <c r="N59" s="77"/>
      <c r="O59" s="77"/>
      <c r="P59" s="77"/>
      <c r="Q59" s="77"/>
      <c r="R59" s="77"/>
      <c r="S59" s="77"/>
      <c r="T59" s="77"/>
    </row>
    <row r="60" spans="3:123" x14ac:dyDescent="0.25">
      <c r="D60" s="160">
        <f>SUM(D56:O56)</f>
        <v>1957.6271186440679</v>
      </c>
      <c r="E60" s="160">
        <f>SUM(P56:AA56)</f>
        <v>2144.0677966101694</v>
      </c>
      <c r="F60" s="160">
        <f>SUM(AB56:AM56)</f>
        <v>2144.0677966101694</v>
      </c>
      <c r="G60" s="160">
        <f>SUM(AN56:AY56)</f>
        <v>2423.7288135593221</v>
      </c>
      <c r="H60" s="160">
        <f>SUM(AZ56:BK56)</f>
        <v>2796.6101694915251</v>
      </c>
      <c r="I60" s="160">
        <f>SUM(BL56:BW56)</f>
        <v>2889.8305084745762</v>
      </c>
      <c r="J60" s="160">
        <f>SUM(BX56:CI56)</f>
        <v>3076.2711864406779</v>
      </c>
      <c r="K60" s="160">
        <f>SUM(CJ56:CU56)</f>
        <v>3449.1525423728808</v>
      </c>
      <c r="L60" s="160">
        <f>SUM(CV56:DG56)</f>
        <v>3728.8135593220341</v>
      </c>
      <c r="M60" s="160">
        <f>SUM(DH56:DS56)</f>
        <v>3822.0338983050842</v>
      </c>
      <c r="N60" s="77"/>
      <c r="O60" s="77"/>
      <c r="P60" s="77"/>
      <c r="Q60" s="77"/>
      <c r="R60" s="77"/>
      <c r="S60" s="77"/>
      <c r="T60" s="77"/>
    </row>
    <row r="61" spans="3:123" x14ac:dyDescent="0.25"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77"/>
      <c r="O61" s="77"/>
      <c r="P61" s="77"/>
      <c r="Q61" s="77"/>
      <c r="R61" s="77"/>
      <c r="S61" s="77"/>
      <c r="T61" s="77"/>
    </row>
    <row r="62" spans="3:123" x14ac:dyDescent="0.25"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77"/>
      <c r="O62" s="77"/>
      <c r="P62" s="77"/>
      <c r="Q62" s="77"/>
      <c r="R62" s="77"/>
      <c r="S62" s="77"/>
      <c r="T62" s="77"/>
    </row>
    <row r="63" spans="3:123" x14ac:dyDescent="0.25">
      <c r="C63" s="527" t="s">
        <v>159</v>
      </c>
      <c r="D63" s="528"/>
      <c r="E63" s="528"/>
      <c r="F63" s="529"/>
    </row>
    <row r="65" spans="3:123" x14ac:dyDescent="0.25">
      <c r="D65" s="530"/>
      <c r="E65" s="531" t="s">
        <v>2</v>
      </c>
      <c r="F65" s="531" t="s">
        <v>160</v>
      </c>
    </row>
    <row r="66" spans="3:123" x14ac:dyDescent="0.25">
      <c r="D66" s="154" t="s">
        <v>154</v>
      </c>
      <c r="E66" s="543" t="s">
        <v>155</v>
      </c>
      <c r="F66" s="543" t="s">
        <v>155</v>
      </c>
    </row>
    <row r="67" spans="3:123" x14ac:dyDescent="0.25">
      <c r="D67" s="402" t="s">
        <v>164</v>
      </c>
      <c r="E67" s="84">
        <v>1</v>
      </c>
      <c r="F67" s="84">
        <v>2</v>
      </c>
    </row>
    <row r="68" spans="3:123" ht="31.5" x14ac:dyDescent="0.25">
      <c r="D68" s="161" t="s">
        <v>157</v>
      </c>
      <c r="E68" s="84">
        <v>120</v>
      </c>
      <c r="F68" s="84">
        <v>240</v>
      </c>
    </row>
    <row r="69" spans="3:123" x14ac:dyDescent="0.25">
      <c r="D69" s="161" t="s">
        <v>152</v>
      </c>
      <c r="E69" s="802">
        <v>0.03</v>
      </c>
      <c r="F69" s="803"/>
    </row>
    <row r="70" spans="3:123" ht="25.5" customHeight="1" x14ac:dyDescent="0.25">
      <c r="D70" s="161" t="s">
        <v>158</v>
      </c>
      <c r="E70" s="804">
        <f>90/1.18</f>
        <v>76.271186440677965</v>
      </c>
      <c r="F70" s="805"/>
    </row>
    <row r="73" spans="3:123" ht="18.75" customHeight="1" x14ac:dyDescent="0.25">
      <c r="C73" s="799" t="s">
        <v>483</v>
      </c>
      <c r="D73" s="801"/>
    </row>
    <row r="74" spans="3:123" ht="18.75" customHeight="1" x14ac:dyDescent="0.25">
      <c r="C74" s="535"/>
      <c r="D74" s="535"/>
    </row>
    <row r="75" spans="3:123" ht="13.5" customHeight="1" x14ac:dyDescent="0.25">
      <c r="D75" s="799" t="s">
        <v>2</v>
      </c>
      <c r="E75" s="800"/>
      <c r="F75" s="800"/>
      <c r="G75" s="800"/>
      <c r="H75" s="800"/>
      <c r="I75" s="800"/>
      <c r="J75" s="800"/>
      <c r="K75" s="800"/>
      <c r="L75" s="800"/>
      <c r="M75" s="800"/>
      <c r="N75" s="800"/>
      <c r="O75" s="801"/>
      <c r="P75" s="799" t="s">
        <v>14</v>
      </c>
      <c r="Q75" s="800"/>
      <c r="R75" s="800"/>
      <c r="S75" s="800"/>
      <c r="T75" s="800"/>
      <c r="U75" s="800"/>
      <c r="V75" s="800"/>
      <c r="W75" s="800"/>
      <c r="X75" s="800"/>
      <c r="Y75" s="800"/>
      <c r="Z75" s="800"/>
      <c r="AA75" s="801"/>
      <c r="AB75" s="799" t="s">
        <v>15</v>
      </c>
      <c r="AC75" s="800"/>
      <c r="AD75" s="800"/>
      <c r="AE75" s="800"/>
      <c r="AF75" s="800"/>
      <c r="AG75" s="800"/>
      <c r="AH75" s="800"/>
      <c r="AI75" s="800"/>
      <c r="AJ75" s="800"/>
      <c r="AK75" s="800"/>
      <c r="AL75" s="800"/>
      <c r="AM75" s="801"/>
      <c r="AN75" s="799" t="s">
        <v>16</v>
      </c>
      <c r="AO75" s="800"/>
      <c r="AP75" s="800"/>
      <c r="AQ75" s="800"/>
      <c r="AR75" s="800"/>
      <c r="AS75" s="800"/>
      <c r="AT75" s="800"/>
      <c r="AU75" s="800"/>
      <c r="AV75" s="800"/>
      <c r="AW75" s="800"/>
      <c r="AX75" s="800"/>
      <c r="AY75" s="801"/>
      <c r="AZ75" s="799" t="s">
        <v>17</v>
      </c>
      <c r="BA75" s="800"/>
      <c r="BB75" s="800"/>
      <c r="BC75" s="800"/>
      <c r="BD75" s="800"/>
      <c r="BE75" s="800"/>
      <c r="BF75" s="800"/>
      <c r="BG75" s="800"/>
      <c r="BH75" s="800"/>
      <c r="BI75" s="800"/>
      <c r="BJ75" s="800"/>
      <c r="BK75" s="801"/>
      <c r="BL75" s="799" t="s">
        <v>18</v>
      </c>
      <c r="BM75" s="800"/>
      <c r="BN75" s="800"/>
      <c r="BO75" s="800"/>
      <c r="BP75" s="800"/>
      <c r="BQ75" s="800"/>
      <c r="BR75" s="800"/>
      <c r="BS75" s="800"/>
      <c r="BT75" s="800"/>
      <c r="BU75" s="800"/>
      <c r="BV75" s="800"/>
      <c r="BW75" s="801"/>
      <c r="BX75" s="799" t="s">
        <v>19</v>
      </c>
      <c r="BY75" s="800"/>
      <c r="BZ75" s="800"/>
      <c r="CA75" s="800"/>
      <c r="CB75" s="800"/>
      <c r="CC75" s="800"/>
      <c r="CD75" s="800"/>
      <c r="CE75" s="800"/>
      <c r="CF75" s="800"/>
      <c r="CG75" s="800"/>
      <c r="CH75" s="800"/>
      <c r="CI75" s="801"/>
      <c r="CJ75" s="799" t="s">
        <v>20</v>
      </c>
      <c r="CK75" s="800"/>
      <c r="CL75" s="800"/>
      <c r="CM75" s="800"/>
      <c r="CN75" s="800"/>
      <c r="CO75" s="800"/>
      <c r="CP75" s="800"/>
      <c r="CQ75" s="800"/>
      <c r="CR75" s="800"/>
      <c r="CS75" s="800"/>
      <c r="CT75" s="800"/>
      <c r="CU75" s="801"/>
      <c r="CV75" s="799" t="s">
        <v>21</v>
      </c>
      <c r="CW75" s="800"/>
      <c r="CX75" s="800"/>
      <c r="CY75" s="800"/>
      <c r="CZ75" s="800"/>
      <c r="DA75" s="800"/>
      <c r="DB75" s="800"/>
      <c r="DC75" s="800"/>
      <c r="DD75" s="800"/>
      <c r="DE75" s="800"/>
      <c r="DF75" s="800"/>
      <c r="DG75" s="801"/>
      <c r="DH75" s="799" t="s">
        <v>22</v>
      </c>
      <c r="DI75" s="800"/>
      <c r="DJ75" s="800"/>
      <c r="DK75" s="800"/>
      <c r="DL75" s="800"/>
      <c r="DM75" s="800"/>
      <c r="DN75" s="800"/>
      <c r="DO75" s="800"/>
      <c r="DP75" s="800"/>
      <c r="DQ75" s="800"/>
      <c r="DR75" s="800"/>
      <c r="DS75" s="801"/>
    </row>
    <row r="76" spans="3:123" x14ac:dyDescent="0.25">
      <c r="D76" s="159" t="s">
        <v>0</v>
      </c>
      <c r="E76" s="159" t="s">
        <v>1</v>
      </c>
      <c r="F76" s="159" t="s">
        <v>49</v>
      </c>
      <c r="G76" s="159" t="s">
        <v>50</v>
      </c>
      <c r="H76" s="159" t="s">
        <v>51</v>
      </c>
      <c r="I76" s="159" t="s">
        <v>52</v>
      </c>
      <c r="J76" s="159" t="s">
        <v>53</v>
      </c>
      <c r="K76" s="159" t="s">
        <v>54</v>
      </c>
      <c r="L76" s="159" t="s">
        <v>55</v>
      </c>
      <c r="M76" s="159" t="s">
        <v>56</v>
      </c>
      <c r="N76" s="159" t="s">
        <v>57</v>
      </c>
      <c r="O76" s="159" t="s">
        <v>58</v>
      </c>
      <c r="P76" s="159" t="s">
        <v>0</v>
      </c>
      <c r="Q76" s="159" t="s">
        <v>1</v>
      </c>
      <c r="R76" s="159" t="s">
        <v>49</v>
      </c>
      <c r="S76" s="159" t="s">
        <v>50</v>
      </c>
      <c r="T76" s="159" t="s">
        <v>51</v>
      </c>
      <c r="U76" s="159" t="s">
        <v>52</v>
      </c>
      <c r="V76" s="159" t="s">
        <v>53</v>
      </c>
      <c r="W76" s="159" t="s">
        <v>54</v>
      </c>
      <c r="X76" s="159" t="s">
        <v>55</v>
      </c>
      <c r="Y76" s="159" t="s">
        <v>56</v>
      </c>
      <c r="Z76" s="159" t="s">
        <v>57</v>
      </c>
      <c r="AA76" s="159" t="s">
        <v>58</v>
      </c>
      <c r="AB76" s="159" t="s">
        <v>0</v>
      </c>
      <c r="AC76" s="159" t="s">
        <v>1</v>
      </c>
      <c r="AD76" s="159" t="s">
        <v>49</v>
      </c>
      <c r="AE76" s="159" t="s">
        <v>50</v>
      </c>
      <c r="AF76" s="159" t="s">
        <v>51</v>
      </c>
      <c r="AG76" s="159" t="s">
        <v>52</v>
      </c>
      <c r="AH76" s="159" t="s">
        <v>53</v>
      </c>
      <c r="AI76" s="159" t="s">
        <v>54</v>
      </c>
      <c r="AJ76" s="159" t="s">
        <v>55</v>
      </c>
      <c r="AK76" s="159" t="s">
        <v>56</v>
      </c>
      <c r="AL76" s="159" t="s">
        <v>57</v>
      </c>
      <c r="AM76" s="159" t="s">
        <v>58</v>
      </c>
      <c r="AN76" s="159" t="s">
        <v>0</v>
      </c>
      <c r="AO76" s="159" t="s">
        <v>1</v>
      </c>
      <c r="AP76" s="159" t="s">
        <v>49</v>
      </c>
      <c r="AQ76" s="159" t="s">
        <v>50</v>
      </c>
      <c r="AR76" s="159" t="s">
        <v>51</v>
      </c>
      <c r="AS76" s="159" t="s">
        <v>52</v>
      </c>
      <c r="AT76" s="159" t="s">
        <v>53</v>
      </c>
      <c r="AU76" s="159" t="s">
        <v>54</v>
      </c>
      <c r="AV76" s="159" t="s">
        <v>55</v>
      </c>
      <c r="AW76" s="159" t="s">
        <v>56</v>
      </c>
      <c r="AX76" s="159" t="s">
        <v>57</v>
      </c>
      <c r="AY76" s="159" t="s">
        <v>58</v>
      </c>
      <c r="AZ76" s="159" t="s">
        <v>0</v>
      </c>
      <c r="BA76" s="159" t="s">
        <v>1</v>
      </c>
      <c r="BB76" s="159" t="s">
        <v>49</v>
      </c>
      <c r="BC76" s="159" t="s">
        <v>50</v>
      </c>
      <c r="BD76" s="159" t="s">
        <v>51</v>
      </c>
      <c r="BE76" s="159" t="s">
        <v>52</v>
      </c>
      <c r="BF76" s="159" t="s">
        <v>53</v>
      </c>
      <c r="BG76" s="159" t="s">
        <v>54</v>
      </c>
      <c r="BH76" s="159" t="s">
        <v>55</v>
      </c>
      <c r="BI76" s="159" t="s">
        <v>56</v>
      </c>
      <c r="BJ76" s="159" t="s">
        <v>57</v>
      </c>
      <c r="BK76" s="159" t="s">
        <v>58</v>
      </c>
      <c r="BL76" s="159" t="s">
        <v>0</v>
      </c>
      <c r="BM76" s="159" t="s">
        <v>1</v>
      </c>
      <c r="BN76" s="159" t="s">
        <v>49</v>
      </c>
      <c r="BO76" s="159" t="s">
        <v>50</v>
      </c>
      <c r="BP76" s="159" t="s">
        <v>51</v>
      </c>
      <c r="BQ76" s="159" t="s">
        <v>52</v>
      </c>
      <c r="BR76" s="159" t="s">
        <v>53</v>
      </c>
      <c r="BS76" s="159" t="s">
        <v>54</v>
      </c>
      <c r="BT76" s="159" t="s">
        <v>55</v>
      </c>
      <c r="BU76" s="159" t="s">
        <v>56</v>
      </c>
      <c r="BV76" s="159" t="s">
        <v>57</v>
      </c>
      <c r="BW76" s="159" t="s">
        <v>58</v>
      </c>
      <c r="BX76" s="159" t="s">
        <v>0</v>
      </c>
      <c r="BY76" s="159" t="s">
        <v>1</v>
      </c>
      <c r="BZ76" s="159" t="s">
        <v>49</v>
      </c>
      <c r="CA76" s="159" t="s">
        <v>50</v>
      </c>
      <c r="CB76" s="159" t="s">
        <v>51</v>
      </c>
      <c r="CC76" s="159" t="s">
        <v>52</v>
      </c>
      <c r="CD76" s="159" t="s">
        <v>53</v>
      </c>
      <c r="CE76" s="159" t="s">
        <v>54</v>
      </c>
      <c r="CF76" s="159" t="s">
        <v>55</v>
      </c>
      <c r="CG76" s="159" t="s">
        <v>56</v>
      </c>
      <c r="CH76" s="159" t="s">
        <v>57</v>
      </c>
      <c r="CI76" s="159" t="s">
        <v>58</v>
      </c>
      <c r="CJ76" s="159" t="s">
        <v>0</v>
      </c>
      <c r="CK76" s="159" t="s">
        <v>1</v>
      </c>
      <c r="CL76" s="159" t="s">
        <v>49</v>
      </c>
      <c r="CM76" s="159" t="s">
        <v>50</v>
      </c>
      <c r="CN76" s="159" t="s">
        <v>51</v>
      </c>
      <c r="CO76" s="159" t="s">
        <v>52</v>
      </c>
      <c r="CP76" s="159" t="s">
        <v>53</v>
      </c>
      <c r="CQ76" s="159" t="s">
        <v>54</v>
      </c>
      <c r="CR76" s="159" t="s">
        <v>55</v>
      </c>
      <c r="CS76" s="159" t="s">
        <v>56</v>
      </c>
      <c r="CT76" s="159" t="s">
        <v>57</v>
      </c>
      <c r="CU76" s="159" t="s">
        <v>58</v>
      </c>
      <c r="CV76" s="159" t="s">
        <v>0</v>
      </c>
      <c r="CW76" s="159" t="s">
        <v>1</v>
      </c>
      <c r="CX76" s="159" t="s">
        <v>49</v>
      </c>
      <c r="CY76" s="159" t="s">
        <v>50</v>
      </c>
      <c r="CZ76" s="159" t="s">
        <v>51</v>
      </c>
      <c r="DA76" s="159" t="s">
        <v>52</v>
      </c>
      <c r="DB76" s="159" t="s">
        <v>53</v>
      </c>
      <c r="DC76" s="159" t="s">
        <v>54</v>
      </c>
      <c r="DD76" s="159" t="s">
        <v>55</v>
      </c>
      <c r="DE76" s="159" t="s">
        <v>56</v>
      </c>
      <c r="DF76" s="159" t="s">
        <v>57</v>
      </c>
      <c r="DG76" s="159" t="s">
        <v>58</v>
      </c>
      <c r="DH76" s="159" t="s">
        <v>0</v>
      </c>
      <c r="DI76" s="159" t="s">
        <v>1</v>
      </c>
      <c r="DJ76" s="159" t="s">
        <v>49</v>
      </c>
      <c r="DK76" s="159" t="s">
        <v>50</v>
      </c>
      <c r="DL76" s="159" t="s">
        <v>51</v>
      </c>
      <c r="DM76" s="159" t="s">
        <v>52</v>
      </c>
      <c r="DN76" s="159" t="s">
        <v>53</v>
      </c>
      <c r="DO76" s="159" t="s">
        <v>54</v>
      </c>
      <c r="DP76" s="159" t="s">
        <v>55</v>
      </c>
      <c r="DQ76" s="159" t="s">
        <v>56</v>
      </c>
      <c r="DR76" s="159" t="s">
        <v>57</v>
      </c>
      <c r="DS76" s="159" t="s">
        <v>58</v>
      </c>
    </row>
    <row r="77" spans="3:123" x14ac:dyDescent="0.25">
      <c r="C77" s="543" t="s">
        <v>111</v>
      </c>
      <c r="D77" s="78">
        <f>ROUNDDOWN($E$69*'INGRESOS AFILIACIONES'!F13,0)</f>
        <v>1</v>
      </c>
      <c r="E77" s="78">
        <f>ROUNDDOWN($E$69*'INGRESOS AFILIACIONES'!G13,0)</f>
        <v>2</v>
      </c>
      <c r="F77" s="78">
        <f>ROUNDDOWN($E$69*'INGRESOS AFILIACIONES'!H13,0)</f>
        <v>2</v>
      </c>
      <c r="G77" s="78">
        <f>ROUNDDOWN($E$69*'INGRESOS AFILIACIONES'!I13,0)</f>
        <v>1</v>
      </c>
      <c r="H77" s="78">
        <f>ROUNDDOWN($E$69*'INGRESOS AFILIACIONES'!J13,0)</f>
        <v>1</v>
      </c>
      <c r="I77" s="78">
        <f>ROUNDDOWN($E$69*'INGRESOS AFILIACIONES'!K13,0)</f>
        <v>2</v>
      </c>
      <c r="J77" s="78">
        <f>ROUNDDOWN($E$69*'INGRESOS AFILIACIONES'!L13,0)</f>
        <v>2</v>
      </c>
      <c r="K77" s="78">
        <f>ROUNDDOWN($E$69*'INGRESOS AFILIACIONES'!M13,0)</f>
        <v>2</v>
      </c>
      <c r="L77" s="78">
        <f>ROUNDDOWN($E$69*'INGRESOS AFILIACIONES'!N13,0)</f>
        <v>2</v>
      </c>
      <c r="M77" s="78">
        <f>ROUNDDOWN($E$69*'INGRESOS AFILIACIONES'!O13,0)</f>
        <v>2</v>
      </c>
      <c r="N77" s="78">
        <f>ROUNDDOWN($E$69*'INGRESOS AFILIACIONES'!P13,0)</f>
        <v>2</v>
      </c>
      <c r="O77" s="78">
        <f>ROUNDDOWN($E$69*'INGRESOS AFILIACIONES'!Q13,0)</f>
        <v>2</v>
      </c>
      <c r="P77" s="78">
        <f>ROUNDDOWN($E$69*'INGRESOS AFILIACIONES'!R13,0)</f>
        <v>3</v>
      </c>
      <c r="Q77" s="78">
        <f>ROUNDDOWN($E$69*'INGRESOS AFILIACIONES'!S13,0)</f>
        <v>2</v>
      </c>
      <c r="R77" s="78">
        <f>ROUNDDOWN($E$69*'INGRESOS AFILIACIONES'!T13,0)</f>
        <v>2</v>
      </c>
      <c r="S77" s="78">
        <f>ROUNDDOWN($E$69*'INGRESOS AFILIACIONES'!U13,0)</f>
        <v>1</v>
      </c>
      <c r="T77" s="78">
        <f>ROUNDDOWN($E$69*'INGRESOS AFILIACIONES'!V13,0)</f>
        <v>1</v>
      </c>
      <c r="U77" s="78">
        <f>ROUNDDOWN($E$69*'INGRESOS AFILIACIONES'!W13,0)</f>
        <v>2</v>
      </c>
      <c r="V77" s="78">
        <f>ROUNDDOWN($E$69*'INGRESOS AFILIACIONES'!X13,0)</f>
        <v>2</v>
      </c>
      <c r="W77" s="78">
        <f>ROUNDDOWN($E$69*'INGRESOS AFILIACIONES'!Y13,0)</f>
        <v>2</v>
      </c>
      <c r="X77" s="78">
        <f>ROUNDDOWN($E$69*'INGRESOS AFILIACIONES'!Z13,0)</f>
        <v>2</v>
      </c>
      <c r="Y77" s="78">
        <f>ROUNDDOWN($E$69*'INGRESOS AFILIACIONES'!AA13,0)</f>
        <v>2</v>
      </c>
      <c r="Z77" s="78">
        <f>ROUNDDOWN($E$69*'INGRESOS AFILIACIONES'!AB13,0)</f>
        <v>2</v>
      </c>
      <c r="AA77" s="78">
        <f>ROUNDDOWN($E$69*'INGRESOS AFILIACIONES'!AC13,0)</f>
        <v>2</v>
      </c>
      <c r="AB77" s="78">
        <f>ROUNDDOWN($E$69*'INGRESOS AFILIACIONES'!AD13,0)</f>
        <v>3</v>
      </c>
      <c r="AC77" s="78">
        <f>ROUNDDOWN($E$69*'INGRESOS AFILIACIONES'!AE13,0)</f>
        <v>2</v>
      </c>
      <c r="AD77" s="78">
        <f>ROUNDDOWN($E$69*'INGRESOS AFILIACIONES'!AF13,0)</f>
        <v>2</v>
      </c>
      <c r="AE77" s="78">
        <f>ROUNDDOWN($E$69*'INGRESOS AFILIACIONES'!AG13,0)</f>
        <v>1</v>
      </c>
      <c r="AF77" s="78">
        <f>ROUNDDOWN($E$69*'INGRESOS AFILIACIONES'!AH13,0)</f>
        <v>1</v>
      </c>
      <c r="AG77" s="78">
        <f>ROUNDDOWN($E$69*'INGRESOS AFILIACIONES'!AI13,0)</f>
        <v>2</v>
      </c>
      <c r="AH77" s="78">
        <f>ROUNDDOWN($E$69*'INGRESOS AFILIACIONES'!AJ13,0)</f>
        <v>2</v>
      </c>
      <c r="AI77" s="78">
        <f>ROUNDDOWN($E$69*'INGRESOS AFILIACIONES'!AK13,0)</f>
        <v>2</v>
      </c>
      <c r="AJ77" s="78">
        <f>ROUNDDOWN($E$69*'INGRESOS AFILIACIONES'!AL13,0)</f>
        <v>2</v>
      </c>
      <c r="AK77" s="78">
        <f>ROUNDDOWN($E$69*'INGRESOS AFILIACIONES'!AM13,0)</f>
        <v>2</v>
      </c>
      <c r="AL77" s="78">
        <f>ROUNDDOWN($E$69*'INGRESOS AFILIACIONES'!AN13,0)</f>
        <v>2</v>
      </c>
      <c r="AM77" s="78">
        <f>ROUNDDOWN($E$69*'INGRESOS AFILIACIONES'!AO13,0)</f>
        <v>2</v>
      </c>
      <c r="AN77" s="78">
        <f>ROUNDDOWN($E$69*'INGRESOS AFILIACIONES'!AP13,0)</f>
        <v>3</v>
      </c>
      <c r="AO77" s="78">
        <f>ROUNDDOWN($E$69*'INGRESOS AFILIACIONES'!AQ13,0)</f>
        <v>3</v>
      </c>
      <c r="AP77" s="78">
        <f>ROUNDDOWN($E$69*'INGRESOS AFILIACIONES'!AR13,0)</f>
        <v>2</v>
      </c>
      <c r="AQ77" s="78">
        <f>ROUNDDOWN($E$69*'INGRESOS AFILIACIONES'!AS13,0)</f>
        <v>1</v>
      </c>
      <c r="AR77" s="78">
        <f>ROUNDDOWN($E$69*'INGRESOS AFILIACIONES'!AT13,0)</f>
        <v>1</v>
      </c>
      <c r="AS77" s="78">
        <f>ROUNDDOWN($E$69*'INGRESOS AFILIACIONES'!AU13,0)</f>
        <v>2</v>
      </c>
      <c r="AT77" s="78">
        <f>ROUNDDOWN($E$69*'INGRESOS AFILIACIONES'!AV13,0)</f>
        <v>2</v>
      </c>
      <c r="AU77" s="78">
        <f>ROUNDDOWN($E$69*'INGRESOS AFILIACIONES'!AW13,0)</f>
        <v>3</v>
      </c>
      <c r="AV77" s="78">
        <f>ROUNDDOWN($E$69*'INGRESOS AFILIACIONES'!AX13,0)</f>
        <v>3</v>
      </c>
      <c r="AW77" s="78">
        <f>ROUNDDOWN($E$69*'INGRESOS AFILIACIONES'!AY13,0)</f>
        <v>2</v>
      </c>
      <c r="AX77" s="78">
        <f>ROUNDDOWN($E$69*'INGRESOS AFILIACIONES'!AZ13,0)</f>
        <v>2</v>
      </c>
      <c r="AY77" s="78">
        <f>ROUNDDOWN($E$69*'INGRESOS AFILIACIONES'!BA13,0)</f>
        <v>2</v>
      </c>
      <c r="AZ77" s="78">
        <f>ROUNDDOWN($E$69*'INGRESOS AFILIACIONES'!BB13,0)</f>
        <v>3</v>
      </c>
      <c r="BA77" s="78">
        <f>ROUNDDOWN($E$69*'INGRESOS AFILIACIONES'!BC13,0)</f>
        <v>3</v>
      </c>
      <c r="BB77" s="78">
        <f>ROUNDDOWN($E$69*'INGRESOS AFILIACIONES'!BD13,0)</f>
        <v>2</v>
      </c>
      <c r="BC77" s="78">
        <f>ROUNDDOWN($E$69*'INGRESOS AFILIACIONES'!BE13,0)</f>
        <v>2</v>
      </c>
      <c r="BD77" s="78">
        <f>ROUNDDOWN($E$69*'INGRESOS AFILIACIONES'!BF13,0)</f>
        <v>2</v>
      </c>
      <c r="BE77" s="78">
        <f>ROUNDDOWN($E$69*'INGRESOS AFILIACIONES'!BG13,0)</f>
        <v>2</v>
      </c>
      <c r="BF77" s="78">
        <f>ROUNDDOWN($E$69*'INGRESOS AFILIACIONES'!BH13,0)</f>
        <v>3</v>
      </c>
      <c r="BG77" s="78">
        <f>ROUNDDOWN($E$69*'INGRESOS AFILIACIONES'!BI13,0)</f>
        <v>3</v>
      </c>
      <c r="BH77" s="78">
        <f>ROUNDDOWN($E$69*'INGRESOS AFILIACIONES'!BJ13,0)</f>
        <v>3</v>
      </c>
      <c r="BI77" s="78">
        <f>ROUNDDOWN($E$69*'INGRESOS AFILIACIONES'!BK13,0)</f>
        <v>3</v>
      </c>
      <c r="BJ77" s="78">
        <f>ROUNDDOWN($E$69*'INGRESOS AFILIACIONES'!BL13,0)</f>
        <v>2</v>
      </c>
      <c r="BK77" s="78">
        <f>ROUNDDOWN($E$69*'INGRESOS AFILIACIONES'!BM13,0)</f>
        <v>2</v>
      </c>
      <c r="BL77" s="78">
        <f>ROUNDDOWN($E$69*'INGRESOS AFILIACIONES'!BN13,0)</f>
        <v>4</v>
      </c>
      <c r="BM77" s="78">
        <f>ROUNDDOWN($E$69*'INGRESOS AFILIACIONES'!BO13,0)</f>
        <v>3</v>
      </c>
      <c r="BN77" s="78">
        <f>ROUNDDOWN($E$69*'INGRESOS AFILIACIONES'!BP13,0)</f>
        <v>2</v>
      </c>
      <c r="BO77" s="78">
        <f>ROUNDDOWN($E$69*'INGRESOS AFILIACIONES'!BQ13,0)</f>
        <v>2</v>
      </c>
      <c r="BP77" s="78">
        <f>ROUNDDOWN($E$69*'INGRESOS AFILIACIONES'!BR13,0)</f>
        <v>2</v>
      </c>
      <c r="BQ77" s="78">
        <f>ROUNDDOWN($E$69*'INGRESOS AFILIACIONES'!BS13,0)</f>
        <v>2</v>
      </c>
      <c r="BR77" s="78">
        <f>ROUNDDOWN($E$69*'INGRESOS AFILIACIONES'!BT13,0)</f>
        <v>3</v>
      </c>
      <c r="BS77" s="78">
        <f>ROUNDDOWN($E$69*'INGRESOS AFILIACIONES'!BU13,0)</f>
        <v>3</v>
      </c>
      <c r="BT77" s="78">
        <f>ROUNDDOWN($E$69*'INGRESOS AFILIACIONES'!BV13,0)</f>
        <v>3</v>
      </c>
      <c r="BU77" s="78">
        <f>ROUNDDOWN($E$69*'INGRESOS AFILIACIONES'!BW13,0)</f>
        <v>3</v>
      </c>
      <c r="BV77" s="78">
        <f>ROUNDDOWN($E$69*'INGRESOS AFILIACIONES'!BX13,0)</f>
        <v>2</v>
      </c>
      <c r="BW77" s="78">
        <f>ROUNDDOWN($E$69*'INGRESOS AFILIACIONES'!BY13,0)</f>
        <v>2</v>
      </c>
      <c r="BX77" s="78">
        <f>ROUNDDOWN($E$69*'INGRESOS AFILIACIONES'!BZ13,0)</f>
        <v>4</v>
      </c>
      <c r="BY77" s="78">
        <f>ROUNDDOWN($E$69*'INGRESOS AFILIACIONES'!CA13,0)</f>
        <v>3</v>
      </c>
      <c r="BZ77" s="78">
        <f>ROUNDDOWN($E$69*'INGRESOS AFILIACIONES'!CB13,0)</f>
        <v>3</v>
      </c>
      <c r="CA77" s="78">
        <f>ROUNDDOWN($E$69*'INGRESOS AFILIACIONES'!CC13,0)</f>
        <v>2</v>
      </c>
      <c r="CB77" s="78">
        <f>ROUNDDOWN($E$69*'INGRESOS AFILIACIONES'!CD13,0)</f>
        <v>2</v>
      </c>
      <c r="CC77" s="78">
        <f>ROUNDDOWN($E$69*'INGRESOS AFILIACIONES'!CE13,0)</f>
        <v>2</v>
      </c>
      <c r="CD77" s="78">
        <f>ROUNDDOWN($E$69*'INGRESOS AFILIACIONES'!CF13,0)</f>
        <v>3</v>
      </c>
      <c r="CE77" s="78">
        <f>ROUNDDOWN($E$69*'INGRESOS AFILIACIONES'!CG13,0)</f>
        <v>3</v>
      </c>
      <c r="CF77" s="78">
        <f>ROUNDDOWN($E$69*'INGRESOS AFILIACIONES'!CH13,0)</f>
        <v>3</v>
      </c>
      <c r="CG77" s="78">
        <f>ROUNDDOWN($E$69*'INGRESOS AFILIACIONES'!CI13,0)</f>
        <v>3</v>
      </c>
      <c r="CH77" s="78">
        <f>ROUNDDOWN($E$69*'INGRESOS AFILIACIONES'!CJ13,0)</f>
        <v>3</v>
      </c>
      <c r="CI77" s="78">
        <f>ROUNDDOWN($E$69*'INGRESOS AFILIACIONES'!CK13,0)</f>
        <v>2</v>
      </c>
      <c r="CJ77" s="78">
        <f>ROUNDDOWN($E$69*'INGRESOS AFILIACIONES'!CL13,0)</f>
        <v>4</v>
      </c>
      <c r="CK77" s="78">
        <f>ROUNDDOWN($E$69*'INGRESOS AFILIACIONES'!CM13,0)</f>
        <v>4</v>
      </c>
      <c r="CL77" s="78">
        <f>ROUNDDOWN($E$69*'INGRESOS AFILIACIONES'!CN13,0)</f>
        <v>3</v>
      </c>
      <c r="CM77" s="78">
        <f>ROUNDDOWN($E$69*'INGRESOS AFILIACIONES'!CO13,0)</f>
        <v>2</v>
      </c>
      <c r="CN77" s="78">
        <f>ROUNDDOWN($E$69*'INGRESOS AFILIACIONES'!CP13,0)</f>
        <v>2</v>
      </c>
      <c r="CO77" s="78">
        <f>ROUNDDOWN($E$69*'INGRESOS AFILIACIONES'!CQ13,0)</f>
        <v>3</v>
      </c>
      <c r="CP77" s="78">
        <f>ROUNDDOWN($E$69*'INGRESOS AFILIACIONES'!CR13,0)</f>
        <v>3</v>
      </c>
      <c r="CQ77" s="78">
        <f>ROUNDDOWN($E$69*'INGRESOS AFILIACIONES'!CS13,0)</f>
        <v>3</v>
      </c>
      <c r="CR77" s="78">
        <f>ROUNDDOWN($E$69*'INGRESOS AFILIACIONES'!CT13,0)</f>
        <v>4</v>
      </c>
      <c r="CS77" s="78">
        <f>ROUNDDOWN($E$69*'INGRESOS AFILIACIONES'!CU13,0)</f>
        <v>3</v>
      </c>
      <c r="CT77" s="78">
        <f>ROUNDDOWN($E$69*'INGRESOS AFILIACIONES'!CV13,0)</f>
        <v>3</v>
      </c>
      <c r="CU77" s="78">
        <f>ROUNDDOWN($E$69*'INGRESOS AFILIACIONES'!CW13,0)</f>
        <v>3</v>
      </c>
      <c r="CV77" s="78">
        <f>ROUNDDOWN($E$69*'INGRESOS AFILIACIONES'!CX13,0)</f>
        <v>4</v>
      </c>
      <c r="CW77" s="78">
        <f>ROUNDDOWN($E$69*'INGRESOS AFILIACIONES'!CY13,0)</f>
        <v>4</v>
      </c>
      <c r="CX77" s="78">
        <f>ROUNDDOWN($E$69*'INGRESOS AFILIACIONES'!CZ13,0)</f>
        <v>3</v>
      </c>
      <c r="CY77" s="78">
        <f>ROUNDDOWN($E$69*'INGRESOS AFILIACIONES'!DA13,0)</f>
        <v>2</v>
      </c>
      <c r="CZ77" s="78">
        <f>ROUNDDOWN($E$69*'INGRESOS AFILIACIONES'!DB13,0)</f>
        <v>2</v>
      </c>
      <c r="DA77" s="78">
        <f>ROUNDDOWN($E$69*'INGRESOS AFILIACIONES'!DC13,0)</f>
        <v>3</v>
      </c>
      <c r="DB77" s="78">
        <f>ROUNDDOWN($E$69*'INGRESOS AFILIACIONES'!DD13,0)</f>
        <v>4</v>
      </c>
      <c r="DC77" s="78">
        <f>ROUNDDOWN($E$69*'INGRESOS AFILIACIONES'!DE13,0)</f>
        <v>4</v>
      </c>
      <c r="DD77" s="78">
        <f>ROUNDDOWN($E$69*'INGRESOS AFILIACIONES'!DF13,0)</f>
        <v>4</v>
      </c>
      <c r="DE77" s="78">
        <f>ROUNDDOWN($E$69*'INGRESOS AFILIACIONES'!DG13,0)</f>
        <v>4</v>
      </c>
      <c r="DF77" s="78">
        <f>ROUNDDOWN($E$69*'INGRESOS AFILIACIONES'!DH13,0)</f>
        <v>3</v>
      </c>
      <c r="DG77" s="78">
        <f>ROUNDDOWN($E$69*'INGRESOS AFILIACIONES'!DI13,0)</f>
        <v>3</v>
      </c>
      <c r="DH77" s="78">
        <f>ROUNDDOWN($E$69*'INGRESOS AFILIACIONES'!DJ13,0)</f>
        <v>5</v>
      </c>
      <c r="DI77" s="78">
        <f>ROUNDDOWN($E$69*'INGRESOS AFILIACIONES'!DK13,0)</f>
        <v>4</v>
      </c>
      <c r="DJ77" s="78">
        <f>ROUNDDOWN($E$69*'INGRESOS AFILIACIONES'!DL13,0)</f>
        <v>3</v>
      </c>
      <c r="DK77" s="78">
        <f>ROUNDDOWN($E$69*'INGRESOS AFILIACIONES'!DM13,0)</f>
        <v>2</v>
      </c>
      <c r="DL77" s="78">
        <f>ROUNDDOWN($E$69*'INGRESOS AFILIACIONES'!DN13,0)</f>
        <v>2</v>
      </c>
      <c r="DM77" s="78">
        <f>ROUNDDOWN($E$69*'INGRESOS AFILIACIONES'!DO13,0)</f>
        <v>3</v>
      </c>
      <c r="DN77" s="78">
        <f>ROUNDDOWN($E$69*'INGRESOS AFILIACIONES'!DP13,0)</f>
        <v>4</v>
      </c>
      <c r="DO77" s="78">
        <f>ROUNDDOWN($E$69*'INGRESOS AFILIACIONES'!DQ13,0)</f>
        <v>4</v>
      </c>
      <c r="DP77" s="78">
        <f>ROUNDDOWN($E$69*'INGRESOS AFILIACIONES'!DR13,0)</f>
        <v>4</v>
      </c>
      <c r="DQ77" s="78">
        <f>ROUNDDOWN($E$69*'INGRESOS AFILIACIONES'!DS13,0)</f>
        <v>4</v>
      </c>
      <c r="DR77" s="78">
        <f>ROUNDDOWN($E$69*'INGRESOS AFILIACIONES'!DT13,0)</f>
        <v>3</v>
      </c>
      <c r="DS77" s="78">
        <f>ROUNDDOWN($E$69*'INGRESOS AFILIACIONES'!DU13,0)</f>
        <v>3</v>
      </c>
    </row>
    <row r="78" spans="3:123" x14ac:dyDescent="0.25">
      <c r="C78" s="543" t="s">
        <v>112</v>
      </c>
      <c r="D78" s="78">
        <f>ROUNDDOWN($E$69*'INGRESOS AFILIACIONES'!F14,0)</f>
        <v>0</v>
      </c>
      <c r="E78" s="78">
        <f>ROUNDDOWN($E$69*'INGRESOS AFILIACIONES'!G14,0)</f>
        <v>0</v>
      </c>
      <c r="F78" s="78">
        <f>ROUNDDOWN($E$69*'INGRESOS AFILIACIONES'!H14,0)</f>
        <v>0</v>
      </c>
      <c r="G78" s="78">
        <f>ROUNDDOWN($E$69*'INGRESOS AFILIACIONES'!I14,0)</f>
        <v>0</v>
      </c>
      <c r="H78" s="78">
        <f>ROUNDDOWN($E$69*'INGRESOS AFILIACIONES'!J14,0)</f>
        <v>0</v>
      </c>
      <c r="I78" s="78">
        <f>ROUNDDOWN($E$69*'INGRESOS AFILIACIONES'!K14,0)</f>
        <v>0</v>
      </c>
      <c r="J78" s="78">
        <f>ROUNDDOWN($E$69*'INGRESOS AFILIACIONES'!L14,0)</f>
        <v>0</v>
      </c>
      <c r="K78" s="78">
        <f>ROUNDDOWN($E$69*'INGRESOS AFILIACIONES'!M14,0)</f>
        <v>0</v>
      </c>
      <c r="L78" s="78">
        <f>ROUNDDOWN($E$69*'INGRESOS AFILIACIONES'!N14,0)</f>
        <v>0</v>
      </c>
      <c r="M78" s="78">
        <f>ROUNDDOWN($E$69*'INGRESOS AFILIACIONES'!O14,0)</f>
        <v>0</v>
      </c>
      <c r="N78" s="78">
        <f>ROUNDDOWN($E$69*'INGRESOS AFILIACIONES'!P14,0)</f>
        <v>0</v>
      </c>
      <c r="O78" s="78">
        <f>ROUNDDOWN($E$69*'INGRESOS AFILIACIONES'!Q14,0)</f>
        <v>0</v>
      </c>
      <c r="P78" s="78">
        <f>ROUNDDOWN($E$69*'INGRESOS AFILIACIONES'!R14,0)</f>
        <v>0</v>
      </c>
      <c r="Q78" s="78">
        <f>ROUNDDOWN($E$69*'INGRESOS AFILIACIONES'!S14,0)</f>
        <v>0</v>
      </c>
      <c r="R78" s="78">
        <f>ROUNDDOWN($E$69*'INGRESOS AFILIACIONES'!T14,0)</f>
        <v>0</v>
      </c>
      <c r="S78" s="78">
        <f>ROUNDDOWN($E$69*'INGRESOS AFILIACIONES'!U14,0)</f>
        <v>0</v>
      </c>
      <c r="T78" s="78">
        <f>ROUNDDOWN($E$69*'INGRESOS AFILIACIONES'!V14,0)</f>
        <v>0</v>
      </c>
      <c r="U78" s="78">
        <f>ROUNDDOWN($E$69*'INGRESOS AFILIACIONES'!W14,0)</f>
        <v>0</v>
      </c>
      <c r="V78" s="78">
        <f>ROUNDDOWN($E$69*'INGRESOS AFILIACIONES'!X14,0)</f>
        <v>0</v>
      </c>
      <c r="W78" s="78">
        <f>ROUNDDOWN($E$69*'INGRESOS AFILIACIONES'!Y14,0)</f>
        <v>0</v>
      </c>
      <c r="X78" s="78">
        <f>ROUNDDOWN($E$69*'INGRESOS AFILIACIONES'!Z14,0)</f>
        <v>0</v>
      </c>
      <c r="Y78" s="78">
        <f>ROUNDDOWN($E$69*'INGRESOS AFILIACIONES'!AA14,0)</f>
        <v>0</v>
      </c>
      <c r="Z78" s="78">
        <f>ROUNDDOWN($E$69*'INGRESOS AFILIACIONES'!AB14,0)</f>
        <v>0</v>
      </c>
      <c r="AA78" s="78">
        <f>ROUNDDOWN($E$69*'INGRESOS AFILIACIONES'!AC14,0)</f>
        <v>0</v>
      </c>
      <c r="AB78" s="78">
        <f>ROUNDDOWN($E$69*'INGRESOS AFILIACIONES'!AD14,0)</f>
        <v>0</v>
      </c>
      <c r="AC78" s="78">
        <f>ROUNDDOWN($E$69*'INGRESOS AFILIACIONES'!AE14,0)</f>
        <v>0</v>
      </c>
      <c r="AD78" s="78">
        <f>ROUNDDOWN($E$69*'INGRESOS AFILIACIONES'!AF14,0)</f>
        <v>0</v>
      </c>
      <c r="AE78" s="78">
        <f>ROUNDDOWN($E$69*'INGRESOS AFILIACIONES'!AG14,0)</f>
        <v>0</v>
      </c>
      <c r="AF78" s="78">
        <f>ROUNDDOWN($E$69*'INGRESOS AFILIACIONES'!AH14,0)</f>
        <v>0</v>
      </c>
      <c r="AG78" s="78">
        <f>ROUNDDOWN($E$69*'INGRESOS AFILIACIONES'!AI14,0)</f>
        <v>0</v>
      </c>
      <c r="AH78" s="78">
        <f>ROUNDDOWN($E$69*'INGRESOS AFILIACIONES'!AJ14,0)</f>
        <v>0</v>
      </c>
      <c r="AI78" s="78">
        <f>ROUNDDOWN($E$69*'INGRESOS AFILIACIONES'!AK14,0)</f>
        <v>0</v>
      </c>
      <c r="AJ78" s="78">
        <f>ROUNDDOWN($E$69*'INGRESOS AFILIACIONES'!AL14,0)</f>
        <v>0</v>
      </c>
      <c r="AK78" s="78">
        <f>ROUNDDOWN($E$69*'INGRESOS AFILIACIONES'!AM14,0)</f>
        <v>0</v>
      </c>
      <c r="AL78" s="78">
        <f>ROUNDDOWN($E$69*'INGRESOS AFILIACIONES'!AN14,0)</f>
        <v>0</v>
      </c>
      <c r="AM78" s="78">
        <f>ROUNDDOWN($E$69*'INGRESOS AFILIACIONES'!AO14,0)</f>
        <v>0</v>
      </c>
      <c r="AN78" s="78">
        <f>ROUNDDOWN($E$69*'INGRESOS AFILIACIONES'!AP14,0)</f>
        <v>1</v>
      </c>
      <c r="AO78" s="78">
        <f>ROUNDDOWN($E$69*'INGRESOS AFILIACIONES'!AQ14,0)</f>
        <v>0</v>
      </c>
      <c r="AP78" s="78">
        <f>ROUNDDOWN($E$69*'INGRESOS AFILIACIONES'!AR14,0)</f>
        <v>0</v>
      </c>
      <c r="AQ78" s="78">
        <f>ROUNDDOWN($E$69*'INGRESOS AFILIACIONES'!AS14,0)</f>
        <v>0</v>
      </c>
      <c r="AR78" s="78">
        <f>ROUNDDOWN($E$69*'INGRESOS AFILIACIONES'!AT14,0)</f>
        <v>0</v>
      </c>
      <c r="AS78" s="78">
        <f>ROUNDDOWN($E$69*'INGRESOS AFILIACIONES'!AU14,0)</f>
        <v>0</v>
      </c>
      <c r="AT78" s="78">
        <f>ROUNDDOWN($E$69*'INGRESOS AFILIACIONES'!AV14,0)</f>
        <v>0</v>
      </c>
      <c r="AU78" s="78">
        <f>ROUNDDOWN($E$69*'INGRESOS AFILIACIONES'!AW14,0)</f>
        <v>0</v>
      </c>
      <c r="AV78" s="78">
        <f>ROUNDDOWN($E$69*'INGRESOS AFILIACIONES'!AX14,0)</f>
        <v>0</v>
      </c>
      <c r="AW78" s="78">
        <f>ROUNDDOWN($E$69*'INGRESOS AFILIACIONES'!AY14,0)</f>
        <v>0</v>
      </c>
      <c r="AX78" s="78">
        <f>ROUNDDOWN($E$69*'INGRESOS AFILIACIONES'!AZ14,0)</f>
        <v>0</v>
      </c>
      <c r="AY78" s="78">
        <f>ROUNDDOWN($E$69*'INGRESOS AFILIACIONES'!BA14,0)</f>
        <v>0</v>
      </c>
      <c r="AZ78" s="78">
        <f>ROUNDDOWN($E$69*'INGRESOS AFILIACIONES'!BB14,0)</f>
        <v>1</v>
      </c>
      <c r="BA78" s="78">
        <f>ROUNDDOWN($E$69*'INGRESOS AFILIACIONES'!BC14,0)</f>
        <v>0</v>
      </c>
      <c r="BB78" s="78">
        <f>ROUNDDOWN($E$69*'INGRESOS AFILIACIONES'!BD14,0)</f>
        <v>0</v>
      </c>
      <c r="BC78" s="78">
        <f>ROUNDDOWN($E$69*'INGRESOS AFILIACIONES'!BE14,0)</f>
        <v>0</v>
      </c>
      <c r="BD78" s="78">
        <f>ROUNDDOWN($E$69*'INGRESOS AFILIACIONES'!BF14,0)</f>
        <v>0</v>
      </c>
      <c r="BE78" s="78">
        <f>ROUNDDOWN($E$69*'INGRESOS AFILIACIONES'!BG14,0)</f>
        <v>0</v>
      </c>
      <c r="BF78" s="78">
        <f>ROUNDDOWN($E$69*'INGRESOS AFILIACIONES'!BH14,0)</f>
        <v>0</v>
      </c>
      <c r="BG78" s="78">
        <f>ROUNDDOWN($E$69*'INGRESOS AFILIACIONES'!BI14,0)</f>
        <v>0</v>
      </c>
      <c r="BH78" s="78">
        <f>ROUNDDOWN($E$69*'INGRESOS AFILIACIONES'!BJ14,0)</f>
        <v>0</v>
      </c>
      <c r="BI78" s="78">
        <f>ROUNDDOWN($E$69*'INGRESOS AFILIACIONES'!BK14,0)</f>
        <v>0</v>
      </c>
      <c r="BJ78" s="78">
        <f>ROUNDDOWN($E$69*'INGRESOS AFILIACIONES'!BL14,0)</f>
        <v>0</v>
      </c>
      <c r="BK78" s="78">
        <f>ROUNDDOWN($E$69*'INGRESOS AFILIACIONES'!BM14,0)</f>
        <v>0</v>
      </c>
      <c r="BL78" s="78">
        <f>ROUNDDOWN($E$69*'INGRESOS AFILIACIONES'!BN14,0)</f>
        <v>1</v>
      </c>
      <c r="BM78" s="78">
        <f>ROUNDDOWN($E$69*'INGRESOS AFILIACIONES'!BO14,0)</f>
        <v>1</v>
      </c>
      <c r="BN78" s="78">
        <f>ROUNDDOWN($E$69*'INGRESOS AFILIACIONES'!BP14,0)</f>
        <v>0</v>
      </c>
      <c r="BO78" s="78">
        <f>ROUNDDOWN($E$69*'INGRESOS AFILIACIONES'!BQ14,0)</f>
        <v>0</v>
      </c>
      <c r="BP78" s="78">
        <f>ROUNDDOWN($E$69*'INGRESOS AFILIACIONES'!BR14,0)</f>
        <v>0</v>
      </c>
      <c r="BQ78" s="78">
        <f>ROUNDDOWN($E$69*'INGRESOS AFILIACIONES'!BS14,0)</f>
        <v>0</v>
      </c>
      <c r="BR78" s="78">
        <f>ROUNDDOWN($E$69*'INGRESOS AFILIACIONES'!BT14,0)</f>
        <v>0</v>
      </c>
      <c r="BS78" s="78">
        <f>ROUNDDOWN($E$69*'INGRESOS AFILIACIONES'!BU14,0)</f>
        <v>0</v>
      </c>
      <c r="BT78" s="78">
        <f>ROUNDDOWN($E$69*'INGRESOS AFILIACIONES'!BV14,0)</f>
        <v>1</v>
      </c>
      <c r="BU78" s="78">
        <f>ROUNDDOWN($E$69*'INGRESOS AFILIACIONES'!BW14,0)</f>
        <v>0</v>
      </c>
      <c r="BV78" s="78">
        <f>ROUNDDOWN($E$69*'INGRESOS AFILIACIONES'!BX14,0)</f>
        <v>0</v>
      </c>
      <c r="BW78" s="78">
        <f>ROUNDDOWN($E$69*'INGRESOS AFILIACIONES'!BY14,0)</f>
        <v>0</v>
      </c>
      <c r="BX78" s="78">
        <f>ROUNDDOWN($E$69*'INGRESOS AFILIACIONES'!BZ14,0)</f>
        <v>1</v>
      </c>
      <c r="BY78" s="78">
        <f>ROUNDDOWN($E$69*'INGRESOS AFILIACIONES'!CA14,0)</f>
        <v>1</v>
      </c>
      <c r="BZ78" s="78">
        <f>ROUNDDOWN($E$69*'INGRESOS AFILIACIONES'!CB14,0)</f>
        <v>0</v>
      </c>
      <c r="CA78" s="78">
        <f>ROUNDDOWN($E$69*'INGRESOS AFILIACIONES'!CC14,0)</f>
        <v>0</v>
      </c>
      <c r="CB78" s="78">
        <f>ROUNDDOWN($E$69*'INGRESOS AFILIACIONES'!CD14,0)</f>
        <v>0</v>
      </c>
      <c r="CC78" s="78">
        <f>ROUNDDOWN($E$69*'INGRESOS AFILIACIONES'!CE14,0)</f>
        <v>0</v>
      </c>
      <c r="CD78" s="78">
        <f>ROUNDDOWN($E$69*'INGRESOS AFILIACIONES'!CF14,0)</f>
        <v>1</v>
      </c>
      <c r="CE78" s="78">
        <f>ROUNDDOWN($E$69*'INGRESOS AFILIACIONES'!CG14,0)</f>
        <v>1</v>
      </c>
      <c r="CF78" s="78">
        <f>ROUNDDOWN($E$69*'INGRESOS AFILIACIONES'!CH14,0)</f>
        <v>1</v>
      </c>
      <c r="CG78" s="78">
        <f>ROUNDDOWN($E$69*'INGRESOS AFILIACIONES'!CI14,0)</f>
        <v>1</v>
      </c>
      <c r="CH78" s="78">
        <f>ROUNDDOWN($E$69*'INGRESOS AFILIACIONES'!CJ14,0)</f>
        <v>0</v>
      </c>
      <c r="CI78" s="78">
        <f>ROUNDDOWN($E$69*'INGRESOS AFILIACIONES'!CK14,0)</f>
        <v>0</v>
      </c>
      <c r="CJ78" s="78">
        <f>ROUNDDOWN($E$69*'INGRESOS AFILIACIONES'!CL14,0)</f>
        <v>1</v>
      </c>
      <c r="CK78" s="78">
        <f>ROUNDDOWN($E$69*'INGRESOS AFILIACIONES'!CM14,0)</f>
        <v>1</v>
      </c>
      <c r="CL78" s="78">
        <f>ROUNDDOWN($E$69*'INGRESOS AFILIACIONES'!CN14,0)</f>
        <v>0</v>
      </c>
      <c r="CM78" s="78">
        <f>ROUNDDOWN($E$69*'INGRESOS AFILIACIONES'!CO14,0)</f>
        <v>0</v>
      </c>
      <c r="CN78" s="78">
        <f>ROUNDDOWN($E$69*'INGRESOS AFILIACIONES'!CP14,0)</f>
        <v>0</v>
      </c>
      <c r="CO78" s="78">
        <f>ROUNDDOWN($E$69*'INGRESOS AFILIACIONES'!CQ14,0)</f>
        <v>0</v>
      </c>
      <c r="CP78" s="78">
        <f>ROUNDDOWN($E$69*'INGRESOS AFILIACIONES'!CR14,0)</f>
        <v>1</v>
      </c>
      <c r="CQ78" s="78">
        <f>ROUNDDOWN($E$69*'INGRESOS AFILIACIONES'!CS14,0)</f>
        <v>1</v>
      </c>
      <c r="CR78" s="78">
        <f>ROUNDDOWN($E$69*'INGRESOS AFILIACIONES'!CT14,0)</f>
        <v>1</v>
      </c>
      <c r="CS78" s="78">
        <f>ROUNDDOWN($E$69*'INGRESOS AFILIACIONES'!CU14,0)</f>
        <v>1</v>
      </c>
      <c r="CT78" s="78">
        <f>ROUNDDOWN($E$69*'INGRESOS AFILIACIONES'!CV14,0)</f>
        <v>0</v>
      </c>
      <c r="CU78" s="78">
        <f>ROUNDDOWN($E$69*'INGRESOS AFILIACIONES'!CW14,0)</f>
        <v>0</v>
      </c>
      <c r="CV78" s="78">
        <f>ROUNDDOWN($E$69*'INGRESOS AFILIACIONES'!CX14,0)</f>
        <v>1</v>
      </c>
      <c r="CW78" s="78">
        <f>ROUNDDOWN($E$69*'INGRESOS AFILIACIONES'!CY14,0)</f>
        <v>1</v>
      </c>
      <c r="CX78" s="78">
        <f>ROUNDDOWN($E$69*'INGRESOS AFILIACIONES'!CZ14,0)</f>
        <v>1</v>
      </c>
      <c r="CY78" s="78">
        <f>ROUNDDOWN($E$69*'INGRESOS AFILIACIONES'!DA14,0)</f>
        <v>0</v>
      </c>
      <c r="CZ78" s="78">
        <f>ROUNDDOWN($E$69*'INGRESOS AFILIACIONES'!DB14,0)</f>
        <v>0</v>
      </c>
      <c r="DA78" s="78">
        <f>ROUNDDOWN($E$69*'INGRESOS AFILIACIONES'!DC14,0)</f>
        <v>0</v>
      </c>
      <c r="DB78" s="78">
        <f>ROUNDDOWN($E$69*'INGRESOS AFILIACIONES'!DD14,0)</f>
        <v>1</v>
      </c>
      <c r="DC78" s="78">
        <f>ROUNDDOWN($E$69*'INGRESOS AFILIACIONES'!DE14,0)</f>
        <v>1</v>
      </c>
      <c r="DD78" s="78">
        <f>ROUNDDOWN($E$69*'INGRESOS AFILIACIONES'!DF14,0)</f>
        <v>1</v>
      </c>
      <c r="DE78" s="78">
        <f>ROUNDDOWN($E$69*'INGRESOS AFILIACIONES'!DG14,0)</f>
        <v>1</v>
      </c>
      <c r="DF78" s="78">
        <f>ROUNDDOWN($E$69*'INGRESOS AFILIACIONES'!DH14,0)</f>
        <v>0</v>
      </c>
      <c r="DG78" s="78">
        <f>ROUNDDOWN($E$69*'INGRESOS AFILIACIONES'!DI14,0)</f>
        <v>0</v>
      </c>
      <c r="DH78" s="78">
        <f>ROUNDDOWN($E$69*'INGRESOS AFILIACIONES'!DJ14,0)</f>
        <v>1</v>
      </c>
      <c r="DI78" s="78">
        <f>ROUNDDOWN($E$69*'INGRESOS AFILIACIONES'!DK14,0)</f>
        <v>1</v>
      </c>
      <c r="DJ78" s="78">
        <f>ROUNDDOWN($E$69*'INGRESOS AFILIACIONES'!DL14,0)</f>
        <v>1</v>
      </c>
      <c r="DK78" s="78">
        <f>ROUNDDOWN($E$69*'INGRESOS AFILIACIONES'!DM14,0)</f>
        <v>0</v>
      </c>
      <c r="DL78" s="78">
        <f>ROUNDDOWN($E$69*'INGRESOS AFILIACIONES'!DN14,0)</f>
        <v>0</v>
      </c>
      <c r="DM78" s="78">
        <f>ROUNDDOWN($E$69*'INGRESOS AFILIACIONES'!DO14,0)</f>
        <v>1</v>
      </c>
      <c r="DN78" s="78">
        <f>ROUNDDOWN($E$69*'INGRESOS AFILIACIONES'!DP14,0)</f>
        <v>1</v>
      </c>
      <c r="DO78" s="78">
        <f>ROUNDDOWN($E$69*'INGRESOS AFILIACIONES'!DQ14,0)</f>
        <v>1</v>
      </c>
      <c r="DP78" s="78">
        <f>ROUNDDOWN($E$69*'INGRESOS AFILIACIONES'!DR14,0)</f>
        <v>1</v>
      </c>
      <c r="DQ78" s="78">
        <f>ROUNDDOWN($E$69*'INGRESOS AFILIACIONES'!DS14,0)</f>
        <v>1</v>
      </c>
      <c r="DR78" s="78">
        <f>ROUNDDOWN($E$69*'INGRESOS AFILIACIONES'!DT14,0)</f>
        <v>1</v>
      </c>
      <c r="DS78" s="78">
        <f>ROUNDDOWN($E$69*'INGRESOS AFILIACIONES'!DU14,0)</f>
        <v>1</v>
      </c>
    </row>
    <row r="79" spans="3:123" x14ac:dyDescent="0.25">
      <c r="C79" s="543" t="s">
        <v>114</v>
      </c>
      <c r="D79" s="78">
        <f>SUM(D77:D78)</f>
        <v>1</v>
      </c>
      <c r="E79" s="78">
        <f t="shared" ref="E79:BP79" si="4">SUM(E77:E78)</f>
        <v>2</v>
      </c>
      <c r="F79" s="78">
        <f t="shared" si="4"/>
        <v>2</v>
      </c>
      <c r="G79" s="78">
        <f t="shared" si="4"/>
        <v>1</v>
      </c>
      <c r="H79" s="78">
        <f t="shared" si="4"/>
        <v>1</v>
      </c>
      <c r="I79" s="78">
        <f>SUM(I77:I78)</f>
        <v>2</v>
      </c>
      <c r="J79" s="78">
        <f t="shared" si="4"/>
        <v>2</v>
      </c>
      <c r="K79" s="78">
        <f t="shared" si="4"/>
        <v>2</v>
      </c>
      <c r="L79" s="78">
        <f t="shared" si="4"/>
        <v>2</v>
      </c>
      <c r="M79" s="78">
        <f t="shared" si="4"/>
        <v>2</v>
      </c>
      <c r="N79" s="78">
        <f t="shared" si="4"/>
        <v>2</v>
      </c>
      <c r="O79" s="78">
        <f t="shared" si="4"/>
        <v>2</v>
      </c>
      <c r="P79" s="78">
        <f t="shared" si="4"/>
        <v>3</v>
      </c>
      <c r="Q79" s="78">
        <f t="shared" si="4"/>
        <v>2</v>
      </c>
      <c r="R79" s="78">
        <f t="shared" si="4"/>
        <v>2</v>
      </c>
      <c r="S79" s="78">
        <f t="shared" si="4"/>
        <v>1</v>
      </c>
      <c r="T79" s="78">
        <f t="shared" si="4"/>
        <v>1</v>
      </c>
      <c r="U79" s="78">
        <f t="shared" si="4"/>
        <v>2</v>
      </c>
      <c r="V79" s="78">
        <f t="shared" si="4"/>
        <v>2</v>
      </c>
      <c r="W79" s="78">
        <f t="shared" si="4"/>
        <v>2</v>
      </c>
      <c r="X79" s="78">
        <f t="shared" si="4"/>
        <v>2</v>
      </c>
      <c r="Y79" s="78">
        <f t="shared" si="4"/>
        <v>2</v>
      </c>
      <c r="Z79" s="78">
        <f t="shared" si="4"/>
        <v>2</v>
      </c>
      <c r="AA79" s="78">
        <f t="shared" si="4"/>
        <v>2</v>
      </c>
      <c r="AB79" s="78">
        <f t="shared" si="4"/>
        <v>3</v>
      </c>
      <c r="AC79" s="78">
        <f t="shared" si="4"/>
        <v>2</v>
      </c>
      <c r="AD79" s="78">
        <f t="shared" si="4"/>
        <v>2</v>
      </c>
      <c r="AE79" s="78">
        <f t="shared" si="4"/>
        <v>1</v>
      </c>
      <c r="AF79" s="78">
        <f t="shared" si="4"/>
        <v>1</v>
      </c>
      <c r="AG79" s="78">
        <f t="shared" si="4"/>
        <v>2</v>
      </c>
      <c r="AH79" s="78">
        <f t="shared" si="4"/>
        <v>2</v>
      </c>
      <c r="AI79" s="78">
        <f t="shared" si="4"/>
        <v>2</v>
      </c>
      <c r="AJ79" s="78">
        <f t="shared" si="4"/>
        <v>2</v>
      </c>
      <c r="AK79" s="78">
        <f t="shared" si="4"/>
        <v>2</v>
      </c>
      <c r="AL79" s="78">
        <f t="shared" si="4"/>
        <v>2</v>
      </c>
      <c r="AM79" s="78">
        <f t="shared" si="4"/>
        <v>2</v>
      </c>
      <c r="AN79" s="78">
        <f t="shared" si="4"/>
        <v>4</v>
      </c>
      <c r="AO79" s="78">
        <f t="shared" si="4"/>
        <v>3</v>
      </c>
      <c r="AP79" s="78">
        <f t="shared" si="4"/>
        <v>2</v>
      </c>
      <c r="AQ79" s="78">
        <f t="shared" si="4"/>
        <v>1</v>
      </c>
      <c r="AR79" s="78">
        <f t="shared" si="4"/>
        <v>1</v>
      </c>
      <c r="AS79" s="78">
        <f t="shared" si="4"/>
        <v>2</v>
      </c>
      <c r="AT79" s="78">
        <f t="shared" si="4"/>
        <v>2</v>
      </c>
      <c r="AU79" s="78">
        <f t="shared" si="4"/>
        <v>3</v>
      </c>
      <c r="AV79" s="78">
        <f t="shared" si="4"/>
        <v>3</v>
      </c>
      <c r="AW79" s="78">
        <f t="shared" si="4"/>
        <v>2</v>
      </c>
      <c r="AX79" s="78">
        <f t="shared" si="4"/>
        <v>2</v>
      </c>
      <c r="AY79" s="78">
        <f t="shared" si="4"/>
        <v>2</v>
      </c>
      <c r="AZ79" s="78">
        <f t="shared" si="4"/>
        <v>4</v>
      </c>
      <c r="BA79" s="78">
        <f t="shared" si="4"/>
        <v>3</v>
      </c>
      <c r="BB79" s="78">
        <f t="shared" si="4"/>
        <v>2</v>
      </c>
      <c r="BC79" s="78">
        <f t="shared" si="4"/>
        <v>2</v>
      </c>
      <c r="BD79" s="78">
        <f t="shared" si="4"/>
        <v>2</v>
      </c>
      <c r="BE79" s="78">
        <f t="shared" si="4"/>
        <v>2</v>
      </c>
      <c r="BF79" s="78">
        <f t="shared" si="4"/>
        <v>3</v>
      </c>
      <c r="BG79" s="78">
        <f t="shared" si="4"/>
        <v>3</v>
      </c>
      <c r="BH79" s="78">
        <f t="shared" si="4"/>
        <v>3</v>
      </c>
      <c r="BI79" s="78">
        <f t="shared" si="4"/>
        <v>3</v>
      </c>
      <c r="BJ79" s="78">
        <f t="shared" si="4"/>
        <v>2</v>
      </c>
      <c r="BK79" s="78">
        <f t="shared" si="4"/>
        <v>2</v>
      </c>
      <c r="BL79" s="78">
        <f t="shared" si="4"/>
        <v>5</v>
      </c>
      <c r="BM79" s="78">
        <f t="shared" si="4"/>
        <v>4</v>
      </c>
      <c r="BN79" s="78">
        <f t="shared" si="4"/>
        <v>2</v>
      </c>
      <c r="BO79" s="78">
        <f t="shared" si="4"/>
        <v>2</v>
      </c>
      <c r="BP79" s="78">
        <f t="shared" si="4"/>
        <v>2</v>
      </c>
      <c r="BQ79" s="78">
        <f t="shared" ref="BQ79:DS79" si="5">SUM(BQ77:BQ78)</f>
        <v>2</v>
      </c>
      <c r="BR79" s="78">
        <f t="shared" si="5"/>
        <v>3</v>
      </c>
      <c r="BS79" s="78">
        <f t="shared" si="5"/>
        <v>3</v>
      </c>
      <c r="BT79" s="78">
        <f t="shared" si="5"/>
        <v>4</v>
      </c>
      <c r="BU79" s="78">
        <f t="shared" si="5"/>
        <v>3</v>
      </c>
      <c r="BV79" s="78">
        <f t="shared" si="5"/>
        <v>2</v>
      </c>
      <c r="BW79" s="78">
        <f t="shared" si="5"/>
        <v>2</v>
      </c>
      <c r="BX79" s="78">
        <f t="shared" si="5"/>
        <v>5</v>
      </c>
      <c r="BY79" s="78">
        <f t="shared" si="5"/>
        <v>4</v>
      </c>
      <c r="BZ79" s="78">
        <f t="shared" si="5"/>
        <v>3</v>
      </c>
      <c r="CA79" s="78">
        <f t="shared" si="5"/>
        <v>2</v>
      </c>
      <c r="CB79" s="78">
        <f t="shared" si="5"/>
        <v>2</v>
      </c>
      <c r="CC79" s="78">
        <f t="shared" si="5"/>
        <v>2</v>
      </c>
      <c r="CD79" s="78">
        <f t="shared" si="5"/>
        <v>4</v>
      </c>
      <c r="CE79" s="78">
        <f t="shared" si="5"/>
        <v>4</v>
      </c>
      <c r="CF79" s="78">
        <f t="shared" si="5"/>
        <v>4</v>
      </c>
      <c r="CG79" s="78">
        <f t="shared" si="5"/>
        <v>4</v>
      </c>
      <c r="CH79" s="78">
        <f t="shared" si="5"/>
        <v>3</v>
      </c>
      <c r="CI79" s="78">
        <f t="shared" si="5"/>
        <v>2</v>
      </c>
      <c r="CJ79" s="78">
        <f t="shared" si="5"/>
        <v>5</v>
      </c>
      <c r="CK79" s="78">
        <f t="shared" si="5"/>
        <v>5</v>
      </c>
      <c r="CL79" s="78">
        <f t="shared" si="5"/>
        <v>3</v>
      </c>
      <c r="CM79" s="78">
        <f t="shared" si="5"/>
        <v>2</v>
      </c>
      <c r="CN79" s="78">
        <f t="shared" si="5"/>
        <v>2</v>
      </c>
      <c r="CO79" s="78">
        <f t="shared" si="5"/>
        <v>3</v>
      </c>
      <c r="CP79" s="78">
        <f t="shared" si="5"/>
        <v>4</v>
      </c>
      <c r="CQ79" s="78">
        <f t="shared" si="5"/>
        <v>4</v>
      </c>
      <c r="CR79" s="78">
        <f t="shared" si="5"/>
        <v>5</v>
      </c>
      <c r="CS79" s="78">
        <f t="shared" si="5"/>
        <v>4</v>
      </c>
      <c r="CT79" s="78">
        <f t="shared" si="5"/>
        <v>3</v>
      </c>
      <c r="CU79" s="78">
        <f t="shared" si="5"/>
        <v>3</v>
      </c>
      <c r="CV79" s="78">
        <f t="shared" si="5"/>
        <v>5</v>
      </c>
      <c r="CW79" s="78">
        <f t="shared" si="5"/>
        <v>5</v>
      </c>
      <c r="CX79" s="78">
        <f t="shared" si="5"/>
        <v>4</v>
      </c>
      <c r="CY79" s="78">
        <f t="shared" si="5"/>
        <v>2</v>
      </c>
      <c r="CZ79" s="78">
        <f t="shared" si="5"/>
        <v>2</v>
      </c>
      <c r="DA79" s="78">
        <f t="shared" si="5"/>
        <v>3</v>
      </c>
      <c r="DB79" s="78">
        <f t="shared" si="5"/>
        <v>5</v>
      </c>
      <c r="DC79" s="78">
        <f t="shared" si="5"/>
        <v>5</v>
      </c>
      <c r="DD79" s="78">
        <f t="shared" si="5"/>
        <v>5</v>
      </c>
      <c r="DE79" s="78">
        <f t="shared" si="5"/>
        <v>5</v>
      </c>
      <c r="DF79" s="78">
        <f t="shared" si="5"/>
        <v>3</v>
      </c>
      <c r="DG79" s="78">
        <f t="shared" si="5"/>
        <v>3</v>
      </c>
      <c r="DH79" s="78">
        <f t="shared" si="5"/>
        <v>6</v>
      </c>
      <c r="DI79" s="78">
        <f t="shared" si="5"/>
        <v>5</v>
      </c>
      <c r="DJ79" s="78">
        <f t="shared" si="5"/>
        <v>4</v>
      </c>
      <c r="DK79" s="78">
        <f t="shared" si="5"/>
        <v>2</v>
      </c>
      <c r="DL79" s="78">
        <f t="shared" si="5"/>
        <v>2</v>
      </c>
      <c r="DM79" s="78">
        <f t="shared" si="5"/>
        <v>4</v>
      </c>
      <c r="DN79" s="78">
        <f t="shared" si="5"/>
        <v>5</v>
      </c>
      <c r="DO79" s="78">
        <f t="shared" si="5"/>
        <v>5</v>
      </c>
      <c r="DP79" s="78">
        <f t="shared" si="5"/>
        <v>5</v>
      </c>
      <c r="DQ79" s="78">
        <f t="shared" si="5"/>
        <v>5</v>
      </c>
      <c r="DR79" s="78">
        <f t="shared" si="5"/>
        <v>4</v>
      </c>
      <c r="DS79" s="78">
        <f t="shared" si="5"/>
        <v>4</v>
      </c>
    </row>
    <row r="82" spans="3:123" x14ac:dyDescent="0.25">
      <c r="C82" s="799" t="s">
        <v>484</v>
      </c>
      <c r="D82" s="801"/>
    </row>
    <row r="83" spans="3:123" x14ac:dyDescent="0.25">
      <c r="C83" s="538"/>
      <c r="D83" s="538"/>
    </row>
    <row r="84" spans="3:123" ht="13.5" customHeight="1" x14ac:dyDescent="0.25">
      <c r="D84" s="799" t="s">
        <v>2</v>
      </c>
      <c r="E84" s="800"/>
      <c r="F84" s="800"/>
      <c r="G84" s="800"/>
      <c r="H84" s="800"/>
      <c r="I84" s="800"/>
      <c r="J84" s="800"/>
      <c r="K84" s="800"/>
      <c r="L84" s="800"/>
      <c r="M84" s="800"/>
      <c r="N84" s="800"/>
      <c r="O84" s="801"/>
      <c r="P84" s="799" t="s">
        <v>14</v>
      </c>
      <c r="Q84" s="800"/>
      <c r="R84" s="800"/>
      <c r="S84" s="800"/>
      <c r="T84" s="800"/>
      <c r="U84" s="800"/>
      <c r="V84" s="800"/>
      <c r="W84" s="800"/>
      <c r="X84" s="800"/>
      <c r="Y84" s="800"/>
      <c r="Z84" s="800"/>
      <c r="AA84" s="801"/>
      <c r="AB84" s="799" t="s">
        <v>15</v>
      </c>
      <c r="AC84" s="800"/>
      <c r="AD84" s="800"/>
      <c r="AE84" s="800"/>
      <c r="AF84" s="800"/>
      <c r="AG84" s="800"/>
      <c r="AH84" s="800"/>
      <c r="AI84" s="800"/>
      <c r="AJ84" s="800"/>
      <c r="AK84" s="800"/>
      <c r="AL84" s="800"/>
      <c r="AM84" s="801"/>
      <c r="AN84" s="799" t="s">
        <v>16</v>
      </c>
      <c r="AO84" s="800"/>
      <c r="AP84" s="800"/>
      <c r="AQ84" s="800"/>
      <c r="AR84" s="800"/>
      <c r="AS84" s="800"/>
      <c r="AT84" s="800"/>
      <c r="AU84" s="800"/>
      <c r="AV84" s="800"/>
      <c r="AW84" s="800"/>
      <c r="AX84" s="800"/>
      <c r="AY84" s="801"/>
      <c r="AZ84" s="799" t="s">
        <v>17</v>
      </c>
      <c r="BA84" s="800"/>
      <c r="BB84" s="800"/>
      <c r="BC84" s="800"/>
      <c r="BD84" s="800"/>
      <c r="BE84" s="800"/>
      <c r="BF84" s="800"/>
      <c r="BG84" s="800"/>
      <c r="BH84" s="800"/>
      <c r="BI84" s="800"/>
      <c r="BJ84" s="800"/>
      <c r="BK84" s="801"/>
      <c r="BL84" s="799" t="s">
        <v>18</v>
      </c>
      <c r="BM84" s="800"/>
      <c r="BN84" s="800"/>
      <c r="BO84" s="800"/>
      <c r="BP84" s="800"/>
      <c r="BQ84" s="800"/>
      <c r="BR84" s="800"/>
      <c r="BS84" s="800"/>
      <c r="BT84" s="800"/>
      <c r="BU84" s="800"/>
      <c r="BV84" s="800"/>
      <c r="BW84" s="801"/>
      <c r="BX84" s="799" t="s">
        <v>19</v>
      </c>
      <c r="BY84" s="800"/>
      <c r="BZ84" s="800"/>
      <c r="CA84" s="800"/>
      <c r="CB84" s="800"/>
      <c r="CC84" s="800"/>
      <c r="CD84" s="800"/>
      <c r="CE84" s="800"/>
      <c r="CF84" s="800"/>
      <c r="CG84" s="800"/>
      <c r="CH84" s="800"/>
      <c r="CI84" s="801"/>
      <c r="CJ84" s="799" t="s">
        <v>20</v>
      </c>
      <c r="CK84" s="800"/>
      <c r="CL84" s="800"/>
      <c r="CM84" s="800"/>
      <c r="CN84" s="800"/>
      <c r="CO84" s="800"/>
      <c r="CP84" s="800"/>
      <c r="CQ84" s="800"/>
      <c r="CR84" s="800"/>
      <c r="CS84" s="800"/>
      <c r="CT84" s="800"/>
      <c r="CU84" s="801"/>
      <c r="CV84" s="799" t="s">
        <v>21</v>
      </c>
      <c r="CW84" s="800"/>
      <c r="CX84" s="800"/>
      <c r="CY84" s="800"/>
      <c r="CZ84" s="800"/>
      <c r="DA84" s="800"/>
      <c r="DB84" s="800"/>
      <c r="DC84" s="800"/>
      <c r="DD84" s="800"/>
      <c r="DE84" s="800"/>
      <c r="DF84" s="800"/>
      <c r="DG84" s="801"/>
      <c r="DH84" s="799" t="s">
        <v>22</v>
      </c>
      <c r="DI84" s="800"/>
      <c r="DJ84" s="800"/>
      <c r="DK84" s="800"/>
      <c r="DL84" s="800"/>
      <c r="DM84" s="800"/>
      <c r="DN84" s="800"/>
      <c r="DO84" s="800"/>
      <c r="DP84" s="800"/>
      <c r="DQ84" s="800"/>
      <c r="DR84" s="800"/>
      <c r="DS84" s="801"/>
    </row>
    <row r="85" spans="3:123" x14ac:dyDescent="0.25">
      <c r="C85" s="530"/>
      <c r="D85" s="159" t="s">
        <v>0</v>
      </c>
      <c r="E85" s="159" t="s">
        <v>1</v>
      </c>
      <c r="F85" s="159" t="s">
        <v>49</v>
      </c>
      <c r="G85" s="159" t="s">
        <v>50</v>
      </c>
      <c r="H85" s="159" t="s">
        <v>51</v>
      </c>
      <c r="I85" s="159" t="s">
        <v>52</v>
      </c>
      <c r="J85" s="159" t="s">
        <v>53</v>
      </c>
      <c r="K85" s="159" t="s">
        <v>54</v>
      </c>
      <c r="L85" s="159" t="s">
        <v>55</v>
      </c>
      <c r="M85" s="159" t="s">
        <v>56</v>
      </c>
      <c r="N85" s="159" t="s">
        <v>57</v>
      </c>
      <c r="O85" s="159" t="s">
        <v>58</v>
      </c>
      <c r="P85" s="159" t="s">
        <v>0</v>
      </c>
      <c r="Q85" s="159" t="s">
        <v>1</v>
      </c>
      <c r="R85" s="159" t="s">
        <v>49</v>
      </c>
      <c r="S85" s="159" t="s">
        <v>50</v>
      </c>
      <c r="T85" s="159" t="s">
        <v>51</v>
      </c>
      <c r="U85" s="159" t="s">
        <v>52</v>
      </c>
      <c r="V85" s="159" t="s">
        <v>53</v>
      </c>
      <c r="W85" s="159" t="s">
        <v>54</v>
      </c>
      <c r="X85" s="159" t="s">
        <v>55</v>
      </c>
      <c r="Y85" s="159" t="s">
        <v>56</v>
      </c>
      <c r="Z85" s="159" t="s">
        <v>57</v>
      </c>
      <c r="AA85" s="159" t="s">
        <v>58</v>
      </c>
      <c r="AB85" s="159" t="s">
        <v>0</v>
      </c>
      <c r="AC85" s="159" t="s">
        <v>1</v>
      </c>
      <c r="AD85" s="159" t="s">
        <v>49</v>
      </c>
      <c r="AE85" s="159" t="s">
        <v>50</v>
      </c>
      <c r="AF85" s="159" t="s">
        <v>51</v>
      </c>
      <c r="AG85" s="159" t="s">
        <v>52</v>
      </c>
      <c r="AH85" s="159" t="s">
        <v>53</v>
      </c>
      <c r="AI85" s="159" t="s">
        <v>54</v>
      </c>
      <c r="AJ85" s="159" t="s">
        <v>55</v>
      </c>
      <c r="AK85" s="159" t="s">
        <v>56</v>
      </c>
      <c r="AL85" s="159" t="s">
        <v>57</v>
      </c>
      <c r="AM85" s="159" t="s">
        <v>58</v>
      </c>
      <c r="AN85" s="159" t="s">
        <v>0</v>
      </c>
      <c r="AO85" s="159" t="s">
        <v>1</v>
      </c>
      <c r="AP85" s="159" t="s">
        <v>49</v>
      </c>
      <c r="AQ85" s="159" t="s">
        <v>50</v>
      </c>
      <c r="AR85" s="159" t="s">
        <v>51</v>
      </c>
      <c r="AS85" s="159" t="s">
        <v>52</v>
      </c>
      <c r="AT85" s="159" t="s">
        <v>53</v>
      </c>
      <c r="AU85" s="159" t="s">
        <v>54</v>
      </c>
      <c r="AV85" s="159" t="s">
        <v>55</v>
      </c>
      <c r="AW85" s="159" t="s">
        <v>56</v>
      </c>
      <c r="AX85" s="159" t="s">
        <v>57</v>
      </c>
      <c r="AY85" s="159" t="s">
        <v>58</v>
      </c>
      <c r="AZ85" s="159" t="s">
        <v>0</v>
      </c>
      <c r="BA85" s="159" t="s">
        <v>1</v>
      </c>
      <c r="BB85" s="159" t="s">
        <v>49</v>
      </c>
      <c r="BC85" s="159" t="s">
        <v>50</v>
      </c>
      <c r="BD85" s="159" t="s">
        <v>51</v>
      </c>
      <c r="BE85" s="159" t="s">
        <v>52</v>
      </c>
      <c r="BF85" s="159" t="s">
        <v>53</v>
      </c>
      <c r="BG85" s="159" t="s">
        <v>54</v>
      </c>
      <c r="BH85" s="159" t="s">
        <v>55</v>
      </c>
      <c r="BI85" s="159" t="s">
        <v>56</v>
      </c>
      <c r="BJ85" s="159" t="s">
        <v>57</v>
      </c>
      <c r="BK85" s="159" t="s">
        <v>58</v>
      </c>
      <c r="BL85" s="159" t="s">
        <v>0</v>
      </c>
      <c r="BM85" s="159" t="s">
        <v>1</v>
      </c>
      <c r="BN85" s="159" t="s">
        <v>49</v>
      </c>
      <c r="BO85" s="159" t="s">
        <v>50</v>
      </c>
      <c r="BP85" s="159" t="s">
        <v>51</v>
      </c>
      <c r="BQ85" s="159" t="s">
        <v>52</v>
      </c>
      <c r="BR85" s="159" t="s">
        <v>53</v>
      </c>
      <c r="BS85" s="159" t="s">
        <v>54</v>
      </c>
      <c r="BT85" s="159" t="s">
        <v>55</v>
      </c>
      <c r="BU85" s="159" t="s">
        <v>56</v>
      </c>
      <c r="BV85" s="159" t="s">
        <v>57</v>
      </c>
      <c r="BW85" s="159" t="s">
        <v>58</v>
      </c>
      <c r="BX85" s="159" t="s">
        <v>0</v>
      </c>
      <c r="BY85" s="159" t="s">
        <v>1</v>
      </c>
      <c r="BZ85" s="159" t="s">
        <v>49</v>
      </c>
      <c r="CA85" s="159" t="s">
        <v>50</v>
      </c>
      <c r="CB85" s="159" t="s">
        <v>51</v>
      </c>
      <c r="CC85" s="159" t="s">
        <v>52</v>
      </c>
      <c r="CD85" s="159" t="s">
        <v>53</v>
      </c>
      <c r="CE85" s="159" t="s">
        <v>54</v>
      </c>
      <c r="CF85" s="159" t="s">
        <v>55</v>
      </c>
      <c r="CG85" s="159" t="s">
        <v>56</v>
      </c>
      <c r="CH85" s="159" t="s">
        <v>57</v>
      </c>
      <c r="CI85" s="159" t="s">
        <v>58</v>
      </c>
      <c r="CJ85" s="159" t="s">
        <v>0</v>
      </c>
      <c r="CK85" s="159" t="s">
        <v>1</v>
      </c>
      <c r="CL85" s="159" t="s">
        <v>49</v>
      </c>
      <c r="CM85" s="159" t="s">
        <v>50</v>
      </c>
      <c r="CN85" s="159" t="s">
        <v>51</v>
      </c>
      <c r="CO85" s="159" t="s">
        <v>52</v>
      </c>
      <c r="CP85" s="159" t="s">
        <v>53</v>
      </c>
      <c r="CQ85" s="159" t="s">
        <v>54</v>
      </c>
      <c r="CR85" s="159" t="s">
        <v>55</v>
      </c>
      <c r="CS85" s="159" t="s">
        <v>56</v>
      </c>
      <c r="CT85" s="159" t="s">
        <v>57</v>
      </c>
      <c r="CU85" s="159" t="s">
        <v>58</v>
      </c>
      <c r="CV85" s="159" t="s">
        <v>0</v>
      </c>
      <c r="CW85" s="159" t="s">
        <v>1</v>
      </c>
      <c r="CX85" s="159" t="s">
        <v>49</v>
      </c>
      <c r="CY85" s="159" t="s">
        <v>50</v>
      </c>
      <c r="CZ85" s="159" t="s">
        <v>51</v>
      </c>
      <c r="DA85" s="159" t="s">
        <v>52</v>
      </c>
      <c r="DB85" s="159" t="s">
        <v>53</v>
      </c>
      <c r="DC85" s="159" t="s">
        <v>54</v>
      </c>
      <c r="DD85" s="159" t="s">
        <v>55</v>
      </c>
      <c r="DE85" s="159" t="s">
        <v>56</v>
      </c>
      <c r="DF85" s="159" t="s">
        <v>57</v>
      </c>
      <c r="DG85" s="159" t="s">
        <v>58</v>
      </c>
      <c r="DH85" s="159" t="s">
        <v>0</v>
      </c>
      <c r="DI85" s="159" t="s">
        <v>1</v>
      </c>
      <c r="DJ85" s="159" t="s">
        <v>49</v>
      </c>
      <c r="DK85" s="159" t="s">
        <v>50</v>
      </c>
      <c r="DL85" s="159" t="s">
        <v>51</v>
      </c>
      <c r="DM85" s="159" t="s">
        <v>52</v>
      </c>
      <c r="DN85" s="159" t="s">
        <v>53</v>
      </c>
      <c r="DO85" s="159" t="s">
        <v>54</v>
      </c>
      <c r="DP85" s="159" t="s">
        <v>55</v>
      </c>
      <c r="DQ85" s="159" t="s">
        <v>56</v>
      </c>
      <c r="DR85" s="159" t="s">
        <v>57</v>
      </c>
      <c r="DS85" s="159" t="s">
        <v>58</v>
      </c>
    </row>
    <row r="86" spans="3:123" x14ac:dyDescent="0.25">
      <c r="C86" s="530"/>
      <c r="D86" s="84">
        <f>D77*E68</f>
        <v>120</v>
      </c>
      <c r="E86" s="84">
        <f t="shared" ref="E86:BP86" si="6">E77*$E$40</f>
        <v>186.4406779661017</v>
      </c>
      <c r="F86" s="84">
        <f t="shared" si="6"/>
        <v>186.4406779661017</v>
      </c>
      <c r="G86" s="84">
        <f t="shared" si="6"/>
        <v>93.220338983050851</v>
      </c>
      <c r="H86" s="84">
        <f t="shared" si="6"/>
        <v>93.220338983050851</v>
      </c>
      <c r="I86" s="84">
        <f t="shared" si="6"/>
        <v>186.4406779661017</v>
      </c>
      <c r="J86" s="84">
        <f t="shared" si="6"/>
        <v>186.4406779661017</v>
      </c>
      <c r="K86" s="84">
        <f t="shared" si="6"/>
        <v>186.4406779661017</v>
      </c>
      <c r="L86" s="84">
        <f t="shared" si="6"/>
        <v>186.4406779661017</v>
      </c>
      <c r="M86" s="84">
        <f t="shared" si="6"/>
        <v>186.4406779661017</v>
      </c>
      <c r="N86" s="84">
        <f t="shared" si="6"/>
        <v>186.4406779661017</v>
      </c>
      <c r="O86" s="84">
        <f t="shared" si="6"/>
        <v>186.4406779661017</v>
      </c>
      <c r="P86" s="84">
        <f t="shared" si="6"/>
        <v>279.66101694915255</v>
      </c>
      <c r="Q86" s="84">
        <f t="shared" si="6"/>
        <v>186.4406779661017</v>
      </c>
      <c r="R86" s="84">
        <f t="shared" si="6"/>
        <v>186.4406779661017</v>
      </c>
      <c r="S86" s="84">
        <f t="shared" si="6"/>
        <v>93.220338983050851</v>
      </c>
      <c r="T86" s="84">
        <f t="shared" si="6"/>
        <v>93.220338983050851</v>
      </c>
      <c r="U86" s="84">
        <f t="shared" si="6"/>
        <v>186.4406779661017</v>
      </c>
      <c r="V86" s="84">
        <f t="shared" si="6"/>
        <v>186.4406779661017</v>
      </c>
      <c r="W86" s="84">
        <f t="shared" si="6"/>
        <v>186.4406779661017</v>
      </c>
      <c r="X86" s="84">
        <f t="shared" si="6"/>
        <v>186.4406779661017</v>
      </c>
      <c r="Y86" s="84">
        <f t="shared" si="6"/>
        <v>186.4406779661017</v>
      </c>
      <c r="Z86" s="84">
        <f t="shared" si="6"/>
        <v>186.4406779661017</v>
      </c>
      <c r="AA86" s="84">
        <f t="shared" si="6"/>
        <v>186.4406779661017</v>
      </c>
      <c r="AB86" s="84">
        <f t="shared" si="6"/>
        <v>279.66101694915255</v>
      </c>
      <c r="AC86" s="84">
        <f t="shared" si="6"/>
        <v>186.4406779661017</v>
      </c>
      <c r="AD86" s="84">
        <f t="shared" si="6"/>
        <v>186.4406779661017</v>
      </c>
      <c r="AE86" s="84">
        <f t="shared" si="6"/>
        <v>93.220338983050851</v>
      </c>
      <c r="AF86" s="84">
        <f t="shared" si="6"/>
        <v>93.220338983050851</v>
      </c>
      <c r="AG86" s="84">
        <f t="shared" si="6"/>
        <v>186.4406779661017</v>
      </c>
      <c r="AH86" s="84">
        <f t="shared" si="6"/>
        <v>186.4406779661017</v>
      </c>
      <c r="AI86" s="84">
        <f t="shared" si="6"/>
        <v>186.4406779661017</v>
      </c>
      <c r="AJ86" s="84">
        <f t="shared" si="6"/>
        <v>186.4406779661017</v>
      </c>
      <c r="AK86" s="84">
        <f t="shared" si="6"/>
        <v>186.4406779661017</v>
      </c>
      <c r="AL86" s="84">
        <f t="shared" si="6"/>
        <v>186.4406779661017</v>
      </c>
      <c r="AM86" s="84">
        <f t="shared" si="6"/>
        <v>186.4406779661017</v>
      </c>
      <c r="AN86" s="84">
        <f t="shared" si="6"/>
        <v>279.66101694915255</v>
      </c>
      <c r="AO86" s="84">
        <f t="shared" si="6"/>
        <v>279.66101694915255</v>
      </c>
      <c r="AP86" s="84">
        <f t="shared" si="6"/>
        <v>186.4406779661017</v>
      </c>
      <c r="AQ86" s="84">
        <f t="shared" si="6"/>
        <v>93.220338983050851</v>
      </c>
      <c r="AR86" s="84">
        <f t="shared" si="6"/>
        <v>93.220338983050851</v>
      </c>
      <c r="AS86" s="84">
        <f t="shared" si="6"/>
        <v>186.4406779661017</v>
      </c>
      <c r="AT86" s="84">
        <f t="shared" si="6"/>
        <v>186.4406779661017</v>
      </c>
      <c r="AU86" s="84">
        <f t="shared" si="6"/>
        <v>279.66101694915255</v>
      </c>
      <c r="AV86" s="84">
        <f t="shared" si="6"/>
        <v>279.66101694915255</v>
      </c>
      <c r="AW86" s="84">
        <f t="shared" si="6"/>
        <v>186.4406779661017</v>
      </c>
      <c r="AX86" s="84">
        <f t="shared" si="6"/>
        <v>186.4406779661017</v>
      </c>
      <c r="AY86" s="84">
        <f t="shared" si="6"/>
        <v>186.4406779661017</v>
      </c>
      <c r="AZ86" s="84">
        <f t="shared" si="6"/>
        <v>279.66101694915255</v>
      </c>
      <c r="BA86" s="84">
        <f t="shared" si="6"/>
        <v>279.66101694915255</v>
      </c>
      <c r="BB86" s="84">
        <f t="shared" si="6"/>
        <v>186.4406779661017</v>
      </c>
      <c r="BC86" s="84">
        <f t="shared" si="6"/>
        <v>186.4406779661017</v>
      </c>
      <c r="BD86" s="84">
        <f t="shared" si="6"/>
        <v>186.4406779661017</v>
      </c>
      <c r="BE86" s="84">
        <f t="shared" si="6"/>
        <v>186.4406779661017</v>
      </c>
      <c r="BF86" s="84">
        <f t="shared" si="6"/>
        <v>279.66101694915255</v>
      </c>
      <c r="BG86" s="84">
        <f t="shared" si="6"/>
        <v>279.66101694915255</v>
      </c>
      <c r="BH86" s="84">
        <f t="shared" si="6"/>
        <v>279.66101694915255</v>
      </c>
      <c r="BI86" s="84">
        <f t="shared" si="6"/>
        <v>279.66101694915255</v>
      </c>
      <c r="BJ86" s="84">
        <f t="shared" si="6"/>
        <v>186.4406779661017</v>
      </c>
      <c r="BK86" s="84">
        <f t="shared" si="6"/>
        <v>186.4406779661017</v>
      </c>
      <c r="BL86" s="84">
        <f t="shared" si="6"/>
        <v>372.88135593220341</v>
      </c>
      <c r="BM86" s="84">
        <f t="shared" si="6"/>
        <v>279.66101694915255</v>
      </c>
      <c r="BN86" s="84">
        <f t="shared" si="6"/>
        <v>186.4406779661017</v>
      </c>
      <c r="BO86" s="84">
        <f t="shared" si="6"/>
        <v>186.4406779661017</v>
      </c>
      <c r="BP86" s="84">
        <f t="shared" si="6"/>
        <v>186.4406779661017</v>
      </c>
      <c r="BQ86" s="84">
        <f t="shared" ref="BQ86:DS86" si="7">BQ77*$E$40</f>
        <v>186.4406779661017</v>
      </c>
      <c r="BR86" s="84">
        <f t="shared" si="7"/>
        <v>279.66101694915255</v>
      </c>
      <c r="BS86" s="84">
        <f t="shared" si="7"/>
        <v>279.66101694915255</v>
      </c>
      <c r="BT86" s="84">
        <f t="shared" si="7"/>
        <v>279.66101694915255</v>
      </c>
      <c r="BU86" s="84">
        <f t="shared" si="7"/>
        <v>279.66101694915255</v>
      </c>
      <c r="BV86" s="84">
        <f t="shared" si="7"/>
        <v>186.4406779661017</v>
      </c>
      <c r="BW86" s="84">
        <f t="shared" si="7"/>
        <v>186.4406779661017</v>
      </c>
      <c r="BX86" s="84">
        <f t="shared" si="7"/>
        <v>372.88135593220341</v>
      </c>
      <c r="BY86" s="84">
        <f t="shared" si="7"/>
        <v>279.66101694915255</v>
      </c>
      <c r="BZ86" s="84">
        <f t="shared" si="7"/>
        <v>279.66101694915255</v>
      </c>
      <c r="CA86" s="84">
        <f t="shared" si="7"/>
        <v>186.4406779661017</v>
      </c>
      <c r="CB86" s="84">
        <f t="shared" si="7"/>
        <v>186.4406779661017</v>
      </c>
      <c r="CC86" s="84">
        <f t="shared" si="7"/>
        <v>186.4406779661017</v>
      </c>
      <c r="CD86" s="84">
        <f t="shared" si="7"/>
        <v>279.66101694915255</v>
      </c>
      <c r="CE86" s="84">
        <f t="shared" si="7"/>
        <v>279.66101694915255</v>
      </c>
      <c r="CF86" s="84">
        <f t="shared" si="7"/>
        <v>279.66101694915255</v>
      </c>
      <c r="CG86" s="84">
        <f t="shared" si="7"/>
        <v>279.66101694915255</v>
      </c>
      <c r="CH86" s="84">
        <f t="shared" si="7"/>
        <v>279.66101694915255</v>
      </c>
      <c r="CI86" s="84">
        <f t="shared" si="7"/>
        <v>186.4406779661017</v>
      </c>
      <c r="CJ86" s="84">
        <f t="shared" si="7"/>
        <v>372.88135593220341</v>
      </c>
      <c r="CK86" s="84">
        <f t="shared" si="7"/>
        <v>372.88135593220341</v>
      </c>
      <c r="CL86" s="84">
        <f t="shared" si="7"/>
        <v>279.66101694915255</v>
      </c>
      <c r="CM86" s="84">
        <f t="shared" si="7"/>
        <v>186.4406779661017</v>
      </c>
      <c r="CN86" s="84">
        <f t="shared" si="7"/>
        <v>186.4406779661017</v>
      </c>
      <c r="CO86" s="84">
        <f t="shared" si="7"/>
        <v>279.66101694915255</v>
      </c>
      <c r="CP86" s="84">
        <f t="shared" si="7"/>
        <v>279.66101694915255</v>
      </c>
      <c r="CQ86" s="84">
        <f t="shared" si="7"/>
        <v>279.66101694915255</v>
      </c>
      <c r="CR86" s="84">
        <f t="shared" si="7"/>
        <v>372.88135593220341</v>
      </c>
      <c r="CS86" s="84">
        <f t="shared" si="7"/>
        <v>279.66101694915255</v>
      </c>
      <c r="CT86" s="84">
        <f t="shared" si="7"/>
        <v>279.66101694915255</v>
      </c>
      <c r="CU86" s="84">
        <f t="shared" si="7"/>
        <v>279.66101694915255</v>
      </c>
      <c r="CV86" s="84">
        <f t="shared" si="7"/>
        <v>372.88135593220341</v>
      </c>
      <c r="CW86" s="84">
        <f t="shared" si="7"/>
        <v>372.88135593220341</v>
      </c>
      <c r="CX86" s="84">
        <f t="shared" si="7"/>
        <v>279.66101694915255</v>
      </c>
      <c r="CY86" s="84">
        <f t="shared" si="7"/>
        <v>186.4406779661017</v>
      </c>
      <c r="CZ86" s="84">
        <f t="shared" si="7"/>
        <v>186.4406779661017</v>
      </c>
      <c r="DA86" s="84">
        <f t="shared" si="7"/>
        <v>279.66101694915255</v>
      </c>
      <c r="DB86" s="84">
        <f t="shared" si="7"/>
        <v>372.88135593220341</v>
      </c>
      <c r="DC86" s="84">
        <f t="shared" si="7"/>
        <v>372.88135593220341</v>
      </c>
      <c r="DD86" s="84">
        <f t="shared" si="7"/>
        <v>372.88135593220341</v>
      </c>
      <c r="DE86" s="84">
        <f t="shared" si="7"/>
        <v>372.88135593220341</v>
      </c>
      <c r="DF86" s="84">
        <f t="shared" si="7"/>
        <v>279.66101694915255</v>
      </c>
      <c r="DG86" s="84">
        <f t="shared" si="7"/>
        <v>279.66101694915255</v>
      </c>
      <c r="DH86" s="84">
        <f t="shared" si="7"/>
        <v>466.10169491525426</v>
      </c>
      <c r="DI86" s="84">
        <f t="shared" si="7"/>
        <v>372.88135593220341</v>
      </c>
      <c r="DJ86" s="84">
        <f t="shared" si="7"/>
        <v>279.66101694915255</v>
      </c>
      <c r="DK86" s="84">
        <f t="shared" si="7"/>
        <v>186.4406779661017</v>
      </c>
      <c r="DL86" s="84">
        <f t="shared" si="7"/>
        <v>186.4406779661017</v>
      </c>
      <c r="DM86" s="84">
        <f t="shared" si="7"/>
        <v>279.66101694915255</v>
      </c>
      <c r="DN86" s="84">
        <f t="shared" si="7"/>
        <v>372.88135593220341</v>
      </c>
      <c r="DO86" s="84">
        <f t="shared" si="7"/>
        <v>372.88135593220341</v>
      </c>
      <c r="DP86" s="84">
        <f t="shared" si="7"/>
        <v>372.88135593220341</v>
      </c>
      <c r="DQ86" s="84">
        <f t="shared" si="7"/>
        <v>372.88135593220341</v>
      </c>
      <c r="DR86" s="84">
        <f t="shared" si="7"/>
        <v>279.66101694915255</v>
      </c>
      <c r="DS86" s="84">
        <f t="shared" si="7"/>
        <v>279.66101694915255</v>
      </c>
    </row>
    <row r="87" spans="3:123" x14ac:dyDescent="0.25">
      <c r="H87" s="530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</row>
    <row r="88" spans="3:123" x14ac:dyDescent="0.25">
      <c r="H88" s="530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</row>
    <row r="89" spans="3:123" x14ac:dyDescent="0.25">
      <c r="D89" s="159" t="s">
        <v>2</v>
      </c>
      <c r="E89" s="159" t="s">
        <v>14</v>
      </c>
      <c r="F89" s="159" t="s">
        <v>15</v>
      </c>
      <c r="G89" s="159" t="s">
        <v>16</v>
      </c>
      <c r="H89" s="159" t="s">
        <v>17</v>
      </c>
      <c r="I89" s="159" t="s">
        <v>18</v>
      </c>
      <c r="J89" s="159" t="s">
        <v>19</v>
      </c>
      <c r="K89" s="159" t="s">
        <v>20</v>
      </c>
      <c r="L89" s="159" t="s">
        <v>21</v>
      </c>
      <c r="M89" s="159" t="s">
        <v>22</v>
      </c>
      <c r="N89" s="77"/>
      <c r="O89" s="77"/>
      <c r="P89" s="77"/>
      <c r="Q89" s="77"/>
      <c r="R89" s="77"/>
      <c r="S89" s="77"/>
      <c r="T89" s="77"/>
    </row>
    <row r="90" spans="3:123" x14ac:dyDescent="0.25">
      <c r="D90" s="84">
        <f>SUM(D86:O86)</f>
        <v>1984.406779661017</v>
      </c>
      <c r="E90" s="84">
        <f>SUM(P86:AA86)</f>
        <v>2144.0677966101694</v>
      </c>
      <c r="F90" s="84">
        <f>SUM(AB86:AM86)</f>
        <v>2144.0677966101694</v>
      </c>
      <c r="G90" s="84">
        <f>SUM(AN86:AY86)</f>
        <v>2423.7288135593221</v>
      </c>
      <c r="H90" s="84">
        <f>SUM(AZ86:BK86)</f>
        <v>2796.6101694915251</v>
      </c>
      <c r="I90" s="84">
        <f>SUM(BL86:BW86)</f>
        <v>2889.8305084745762</v>
      </c>
      <c r="J90" s="84">
        <f>SUM(BX86:CI86)</f>
        <v>3076.2711864406779</v>
      </c>
      <c r="K90" s="84">
        <f>SUM(CJ86:CU86)</f>
        <v>3449.1525423728808</v>
      </c>
      <c r="L90" s="84">
        <f>SUM(CV86:DG86)</f>
        <v>3728.8135593220341</v>
      </c>
      <c r="M90" s="84">
        <f>SUM(DH86:DS86)</f>
        <v>3822.0338983050842</v>
      </c>
      <c r="N90" s="77"/>
      <c r="O90" s="77"/>
      <c r="P90" s="77"/>
      <c r="Q90" s="77"/>
      <c r="R90" s="77"/>
      <c r="S90" s="77"/>
      <c r="T90" s="77"/>
    </row>
    <row r="93" spans="3:123" x14ac:dyDescent="0.25">
      <c r="C93" s="799" t="s">
        <v>161</v>
      </c>
      <c r="D93" s="801"/>
    </row>
    <row r="95" spans="3:123" x14ac:dyDescent="0.25">
      <c r="D95" s="159" t="s">
        <v>2</v>
      </c>
      <c r="E95" s="159" t="s">
        <v>14</v>
      </c>
      <c r="F95" s="159" t="s">
        <v>15</v>
      </c>
      <c r="G95" s="159" t="s">
        <v>16</v>
      </c>
      <c r="H95" s="159" t="s">
        <v>17</v>
      </c>
      <c r="I95" s="159" t="s">
        <v>18</v>
      </c>
      <c r="J95" s="159" t="s">
        <v>19</v>
      </c>
      <c r="K95" s="159" t="s">
        <v>20</v>
      </c>
      <c r="L95" s="159" t="s">
        <v>21</v>
      </c>
      <c r="M95" s="159" t="s">
        <v>22</v>
      </c>
    </row>
    <row r="96" spans="3:123" x14ac:dyDescent="0.25">
      <c r="C96" s="543" t="s">
        <v>162</v>
      </c>
      <c r="D96" s="84">
        <f t="shared" ref="D96:M96" si="8">D29</f>
        <v>3050.8474576271187</v>
      </c>
      <c r="E96" s="84">
        <f t="shared" si="8"/>
        <v>3457.6271186440677</v>
      </c>
      <c r="F96" s="84">
        <f t="shared" si="8"/>
        <v>4067.796610169491</v>
      </c>
      <c r="G96" s="84">
        <f t="shared" si="8"/>
        <v>4474.576271186439</v>
      </c>
      <c r="H96" s="84">
        <f t="shared" si="8"/>
        <v>4983.0508474576263</v>
      </c>
      <c r="I96" s="84">
        <f t="shared" si="8"/>
        <v>5186.4406779661012</v>
      </c>
      <c r="J96" s="84">
        <f t="shared" si="8"/>
        <v>5796.6101694915251</v>
      </c>
      <c r="K96" s="84">
        <f t="shared" si="8"/>
        <v>6406.7796610169489</v>
      </c>
      <c r="L96" s="84">
        <f t="shared" si="8"/>
        <v>6610.1694915254238</v>
      </c>
      <c r="M96" s="84">
        <f t="shared" si="8"/>
        <v>7322.0338983050851</v>
      </c>
    </row>
    <row r="97" spans="3:15" x14ac:dyDescent="0.25">
      <c r="C97" s="543" t="s">
        <v>163</v>
      </c>
      <c r="D97" s="84">
        <f t="shared" ref="D97:M97" si="9">D60</f>
        <v>1957.6271186440679</v>
      </c>
      <c r="E97" s="84">
        <f t="shared" si="9"/>
        <v>2144.0677966101694</v>
      </c>
      <c r="F97" s="84">
        <f t="shared" si="9"/>
        <v>2144.0677966101694</v>
      </c>
      <c r="G97" s="84">
        <f t="shared" si="9"/>
        <v>2423.7288135593221</v>
      </c>
      <c r="H97" s="84">
        <f t="shared" si="9"/>
        <v>2796.6101694915251</v>
      </c>
      <c r="I97" s="84">
        <f t="shared" si="9"/>
        <v>2889.8305084745762</v>
      </c>
      <c r="J97" s="84">
        <f t="shared" si="9"/>
        <v>3076.2711864406779</v>
      </c>
      <c r="K97" s="84">
        <f t="shared" si="9"/>
        <v>3449.1525423728808</v>
      </c>
      <c r="L97" s="84">
        <f t="shared" si="9"/>
        <v>3728.8135593220341</v>
      </c>
      <c r="M97" s="84">
        <f t="shared" si="9"/>
        <v>3822.0338983050842</v>
      </c>
    </row>
    <row r="98" spans="3:15" x14ac:dyDescent="0.25">
      <c r="C98" s="543" t="s">
        <v>164</v>
      </c>
      <c r="D98" s="84">
        <f t="shared" ref="D98:M98" si="10">D90</f>
        <v>1984.406779661017</v>
      </c>
      <c r="E98" s="84">
        <f t="shared" si="10"/>
        <v>2144.0677966101694</v>
      </c>
      <c r="F98" s="84">
        <f t="shared" si="10"/>
        <v>2144.0677966101694</v>
      </c>
      <c r="G98" s="84">
        <f t="shared" si="10"/>
        <v>2423.7288135593221</v>
      </c>
      <c r="H98" s="84">
        <f t="shared" si="10"/>
        <v>2796.6101694915251</v>
      </c>
      <c r="I98" s="84">
        <f t="shared" si="10"/>
        <v>2889.8305084745762</v>
      </c>
      <c r="J98" s="84">
        <f t="shared" si="10"/>
        <v>3076.2711864406779</v>
      </c>
      <c r="K98" s="84">
        <f t="shared" si="10"/>
        <v>3449.1525423728808</v>
      </c>
      <c r="L98" s="84">
        <f t="shared" si="10"/>
        <v>3728.8135593220341</v>
      </c>
      <c r="M98" s="84">
        <f t="shared" si="10"/>
        <v>3822.0338983050842</v>
      </c>
    </row>
    <row r="99" spans="3:15" x14ac:dyDescent="0.25">
      <c r="D99" s="160">
        <f>SUM(D96:D98)</f>
        <v>6992.8813559322034</v>
      </c>
      <c r="E99" s="160">
        <f t="shared" ref="E99:M99" si="11">SUM(E96:E98)</f>
        <v>7745.7627118644059</v>
      </c>
      <c r="F99" s="160">
        <f t="shared" si="11"/>
        <v>8355.9322033898297</v>
      </c>
      <c r="G99" s="160">
        <f t="shared" si="11"/>
        <v>9322.0338983050842</v>
      </c>
      <c r="H99" s="160">
        <f t="shared" si="11"/>
        <v>10576.271186440677</v>
      </c>
      <c r="I99" s="160">
        <f t="shared" si="11"/>
        <v>10966.101694915254</v>
      </c>
      <c r="J99" s="160">
        <f t="shared" si="11"/>
        <v>11949.15254237288</v>
      </c>
      <c r="K99" s="160">
        <f t="shared" si="11"/>
        <v>13305.08474576271</v>
      </c>
      <c r="L99" s="160">
        <f t="shared" si="11"/>
        <v>14067.796610169493</v>
      </c>
      <c r="M99" s="160">
        <f t="shared" si="11"/>
        <v>14966.101694915253</v>
      </c>
    </row>
    <row r="104" spans="3:15" x14ac:dyDescent="0.25">
      <c r="C104" s="527" t="s">
        <v>415</v>
      </c>
      <c r="D104" s="528"/>
      <c r="E104" s="528"/>
      <c r="F104" s="529"/>
      <c r="G104" s="541"/>
      <c r="K104" s="541"/>
      <c r="L104" s="541"/>
      <c r="M104" s="541"/>
      <c r="N104" s="541"/>
      <c r="O104" s="541"/>
    </row>
    <row r="105" spans="3:15" x14ac:dyDescent="0.25">
      <c r="C105" s="541"/>
      <c r="K105" s="541"/>
      <c r="L105" s="541"/>
      <c r="M105" s="541"/>
      <c r="N105" s="541"/>
      <c r="O105" s="541"/>
    </row>
    <row r="106" spans="3:15" x14ac:dyDescent="0.25">
      <c r="C106" s="541"/>
      <c r="D106" s="542" t="s">
        <v>69</v>
      </c>
      <c r="E106" s="795" t="s">
        <v>70</v>
      </c>
      <c r="F106" s="795"/>
      <c r="G106" s="795" t="s">
        <v>75</v>
      </c>
      <c r="H106" s="795"/>
      <c r="I106" s="543" t="s">
        <v>71</v>
      </c>
      <c r="J106" s="543" t="s">
        <v>72</v>
      </c>
      <c r="K106" s="541"/>
      <c r="L106" s="541"/>
      <c r="M106" s="541"/>
      <c r="N106" s="541"/>
      <c r="O106" s="541"/>
    </row>
    <row r="107" spans="3:15" x14ac:dyDescent="0.25">
      <c r="C107" s="541"/>
      <c r="D107" s="542" t="s">
        <v>73</v>
      </c>
      <c r="E107" s="158">
        <v>68.13</v>
      </c>
      <c r="F107" s="158" t="s">
        <v>67</v>
      </c>
      <c r="G107" s="158">
        <v>30</v>
      </c>
      <c r="H107" s="158" t="s">
        <v>67</v>
      </c>
      <c r="I107" s="84">
        <f>E107*G107</f>
        <v>2043.8999999999999</v>
      </c>
      <c r="J107" s="84">
        <f>I107*12</f>
        <v>24526.799999999999</v>
      </c>
      <c r="K107" s="541"/>
      <c r="L107" s="541"/>
      <c r="M107" s="541"/>
      <c r="N107" s="541"/>
      <c r="O107" s="541"/>
    </row>
    <row r="108" spans="3:15" x14ac:dyDescent="0.25">
      <c r="C108" s="541"/>
      <c r="D108" s="542" t="s">
        <v>74</v>
      </c>
      <c r="E108" s="158">
        <v>15.94</v>
      </c>
      <c r="F108" s="158" t="s">
        <v>67</v>
      </c>
      <c r="G108" s="158">
        <v>30</v>
      </c>
      <c r="H108" s="158" t="s">
        <v>67</v>
      </c>
      <c r="I108" s="84">
        <f>E108*G108</f>
        <v>478.2</v>
      </c>
      <c r="J108" s="84">
        <f>I108*12</f>
        <v>5738.4</v>
      </c>
      <c r="K108" s="541"/>
      <c r="L108" s="541"/>
      <c r="M108" s="541"/>
      <c r="N108" s="541"/>
      <c r="O108" s="541"/>
    </row>
    <row r="109" spans="3:15" x14ac:dyDescent="0.25">
      <c r="C109" s="541"/>
      <c r="D109" s="544"/>
      <c r="E109" s="428"/>
      <c r="F109" s="428"/>
      <c r="G109" s="428"/>
      <c r="H109" s="428"/>
      <c r="I109" s="429"/>
      <c r="J109" s="429"/>
      <c r="K109" s="541"/>
      <c r="L109" s="541"/>
      <c r="M109" s="541"/>
      <c r="N109" s="541"/>
      <c r="O109" s="541"/>
    </row>
    <row r="110" spans="3:15" x14ac:dyDescent="0.25">
      <c r="C110" s="541"/>
      <c r="D110" s="541"/>
      <c r="E110" s="541"/>
      <c r="F110" s="541"/>
      <c r="G110" s="541"/>
      <c r="H110" s="541"/>
      <c r="I110" s="541"/>
      <c r="J110" s="541"/>
      <c r="K110" s="541"/>
      <c r="L110" s="541"/>
      <c r="M110" s="541"/>
      <c r="N110" s="541"/>
      <c r="O110" s="541"/>
    </row>
    <row r="111" spans="3:15" x14ac:dyDescent="0.25">
      <c r="C111" s="541"/>
      <c r="D111" s="545" t="s">
        <v>494</v>
      </c>
      <c r="E111" s="546"/>
      <c r="F111" s="547"/>
      <c r="G111" s="548"/>
      <c r="H111" s="546"/>
      <c r="I111" s="541"/>
      <c r="J111" s="541"/>
      <c r="K111" s="541"/>
      <c r="L111" s="541"/>
      <c r="M111" s="541"/>
      <c r="N111" s="541"/>
      <c r="O111" s="541"/>
    </row>
    <row r="112" spans="3:15" x14ac:dyDescent="0.25">
      <c r="C112" s="541"/>
      <c r="D112" s="541"/>
      <c r="E112" s="541"/>
      <c r="F112" s="541"/>
      <c r="G112" s="541"/>
      <c r="H112" s="541"/>
      <c r="I112" s="541"/>
      <c r="J112" s="541"/>
      <c r="K112" s="541"/>
      <c r="L112" s="541"/>
      <c r="M112" s="541"/>
      <c r="N112" s="541"/>
      <c r="O112" s="541"/>
    </row>
    <row r="113" spans="3:15" x14ac:dyDescent="0.25">
      <c r="C113" s="541"/>
      <c r="D113" s="541"/>
      <c r="E113" s="541"/>
      <c r="F113" s="541"/>
      <c r="G113" s="541"/>
      <c r="H113" s="541"/>
      <c r="I113" s="541"/>
      <c r="J113" s="541"/>
      <c r="K113" s="541"/>
      <c r="L113" s="541"/>
      <c r="M113" s="541"/>
      <c r="N113" s="541"/>
      <c r="O113" s="541"/>
    </row>
    <row r="114" spans="3:15" x14ac:dyDescent="0.25">
      <c r="C114" s="541"/>
      <c r="D114" s="796" t="s">
        <v>2</v>
      </c>
      <c r="E114" s="797"/>
      <c r="F114" s="797"/>
      <c r="G114" s="797"/>
      <c r="H114" s="797"/>
      <c r="I114" s="797"/>
      <c r="J114" s="797"/>
      <c r="K114" s="797"/>
      <c r="L114" s="797"/>
      <c r="M114" s="797"/>
      <c r="N114" s="797"/>
      <c r="O114" s="798"/>
    </row>
    <row r="115" spans="3:15" x14ac:dyDescent="0.25">
      <c r="C115" s="549"/>
      <c r="D115" s="162" t="s">
        <v>0</v>
      </c>
      <c r="E115" s="162" t="s">
        <v>1</v>
      </c>
      <c r="F115" s="162" t="s">
        <v>49</v>
      </c>
      <c r="G115" s="162" t="s">
        <v>50</v>
      </c>
      <c r="H115" s="162" t="s">
        <v>51</v>
      </c>
      <c r="I115" s="162" t="s">
        <v>52</v>
      </c>
      <c r="J115" s="162" t="s">
        <v>53</v>
      </c>
      <c r="K115" s="162" t="s">
        <v>54</v>
      </c>
      <c r="L115" s="162" t="s">
        <v>55</v>
      </c>
      <c r="M115" s="162" t="s">
        <v>56</v>
      </c>
      <c r="N115" s="162" t="s">
        <v>57</v>
      </c>
      <c r="O115" s="162" t="s">
        <v>58</v>
      </c>
    </row>
    <row r="116" spans="3:15" x14ac:dyDescent="0.25">
      <c r="C116" s="550" t="s">
        <v>416</v>
      </c>
      <c r="D116" s="84">
        <f>$I$107</f>
        <v>2043.8999999999999</v>
      </c>
      <c r="E116" s="84">
        <f t="shared" ref="E116:O116" si="12">$I$107</f>
        <v>2043.8999999999999</v>
      </c>
      <c r="F116" s="84">
        <f t="shared" si="12"/>
        <v>2043.8999999999999</v>
      </c>
      <c r="G116" s="84">
        <f t="shared" si="12"/>
        <v>2043.8999999999999</v>
      </c>
      <c r="H116" s="84">
        <f t="shared" si="12"/>
        <v>2043.8999999999999</v>
      </c>
      <c r="I116" s="84">
        <f t="shared" si="12"/>
        <v>2043.8999999999999</v>
      </c>
      <c r="J116" s="84">
        <f t="shared" si="12"/>
        <v>2043.8999999999999</v>
      </c>
      <c r="K116" s="84">
        <f t="shared" si="12"/>
        <v>2043.8999999999999</v>
      </c>
      <c r="L116" s="84">
        <f t="shared" si="12"/>
        <v>2043.8999999999999</v>
      </c>
      <c r="M116" s="84">
        <f t="shared" si="12"/>
        <v>2043.8999999999999</v>
      </c>
      <c r="N116" s="84">
        <f t="shared" si="12"/>
        <v>2043.8999999999999</v>
      </c>
      <c r="O116" s="84">
        <f t="shared" si="12"/>
        <v>2043.8999999999999</v>
      </c>
    </row>
    <row r="117" spans="3:15" x14ac:dyDescent="0.25">
      <c r="C117" s="550" t="s">
        <v>417</v>
      </c>
      <c r="D117" s="84">
        <f>$I$108</f>
        <v>478.2</v>
      </c>
      <c r="E117" s="84">
        <f t="shared" ref="E117:O117" si="13">$I$108</f>
        <v>478.2</v>
      </c>
      <c r="F117" s="84">
        <f t="shared" si="13"/>
        <v>478.2</v>
      </c>
      <c r="G117" s="84">
        <f t="shared" si="13"/>
        <v>478.2</v>
      </c>
      <c r="H117" s="84">
        <f t="shared" si="13"/>
        <v>478.2</v>
      </c>
      <c r="I117" s="84">
        <f t="shared" si="13"/>
        <v>478.2</v>
      </c>
      <c r="J117" s="84">
        <f t="shared" si="13"/>
        <v>478.2</v>
      </c>
      <c r="K117" s="84">
        <f t="shared" si="13"/>
        <v>478.2</v>
      </c>
      <c r="L117" s="84">
        <f t="shared" si="13"/>
        <v>478.2</v>
      </c>
      <c r="M117" s="84">
        <f t="shared" si="13"/>
        <v>478.2</v>
      </c>
      <c r="N117" s="84">
        <f t="shared" si="13"/>
        <v>478.2</v>
      </c>
      <c r="O117" s="84">
        <f t="shared" si="13"/>
        <v>478.2</v>
      </c>
    </row>
    <row r="118" spans="3:15" x14ac:dyDescent="0.25">
      <c r="C118" s="550" t="s">
        <v>114</v>
      </c>
      <c r="D118" s="160">
        <f>SUM(D116:D117)</f>
        <v>2522.1</v>
      </c>
      <c r="E118" s="160">
        <f t="shared" ref="E118:O118" si="14">SUM(E116:E117)</f>
        <v>2522.1</v>
      </c>
      <c r="F118" s="160">
        <f t="shared" si="14"/>
        <v>2522.1</v>
      </c>
      <c r="G118" s="160">
        <f t="shared" si="14"/>
        <v>2522.1</v>
      </c>
      <c r="H118" s="160">
        <f t="shared" si="14"/>
        <v>2522.1</v>
      </c>
      <c r="I118" s="160">
        <f t="shared" si="14"/>
        <v>2522.1</v>
      </c>
      <c r="J118" s="160">
        <f t="shared" si="14"/>
        <v>2522.1</v>
      </c>
      <c r="K118" s="160">
        <f t="shared" si="14"/>
        <v>2522.1</v>
      </c>
      <c r="L118" s="160">
        <f t="shared" si="14"/>
        <v>2522.1</v>
      </c>
      <c r="M118" s="160">
        <f t="shared" si="14"/>
        <v>2522.1</v>
      </c>
      <c r="N118" s="160">
        <f t="shared" si="14"/>
        <v>2522.1</v>
      </c>
      <c r="O118" s="160">
        <f t="shared" si="14"/>
        <v>2522.1</v>
      </c>
    </row>
    <row r="119" spans="3:15" x14ac:dyDescent="0.25"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</row>
    <row r="120" spans="3:15" x14ac:dyDescent="0.25">
      <c r="C120" s="541"/>
      <c r="D120" s="541"/>
      <c r="E120" s="541"/>
      <c r="F120" s="541"/>
      <c r="G120" s="541"/>
      <c r="H120" s="541"/>
      <c r="I120" s="541"/>
      <c r="J120" s="541"/>
      <c r="K120" s="541"/>
      <c r="L120" s="541"/>
      <c r="M120" s="541"/>
      <c r="N120" s="541"/>
      <c r="O120" s="541"/>
    </row>
    <row r="121" spans="3:15" x14ac:dyDescent="0.25">
      <c r="C121" s="541"/>
      <c r="D121" s="550" t="s">
        <v>2</v>
      </c>
      <c r="E121" s="550" t="s">
        <v>14</v>
      </c>
      <c r="F121" s="550" t="s">
        <v>15</v>
      </c>
      <c r="G121" s="550" t="s">
        <v>16</v>
      </c>
      <c r="H121" s="550" t="s">
        <v>17</v>
      </c>
      <c r="I121" s="550" t="s">
        <v>18</v>
      </c>
      <c r="J121" s="550" t="s">
        <v>19</v>
      </c>
      <c r="K121" s="550" t="s">
        <v>20</v>
      </c>
      <c r="L121" s="550" t="s">
        <v>21</v>
      </c>
      <c r="M121" s="550" t="s">
        <v>22</v>
      </c>
      <c r="N121" s="541"/>
      <c r="O121" s="541"/>
    </row>
    <row r="122" spans="3:15" x14ac:dyDescent="0.25">
      <c r="C122" s="550" t="s">
        <v>416</v>
      </c>
      <c r="D122" s="84">
        <f>$J$107</f>
        <v>24526.799999999999</v>
      </c>
      <c r="E122" s="84">
        <f t="shared" ref="E122:M122" si="15">$J$107</f>
        <v>24526.799999999999</v>
      </c>
      <c r="F122" s="84">
        <f t="shared" si="15"/>
        <v>24526.799999999999</v>
      </c>
      <c r="G122" s="84">
        <f t="shared" si="15"/>
        <v>24526.799999999999</v>
      </c>
      <c r="H122" s="84">
        <f t="shared" si="15"/>
        <v>24526.799999999999</v>
      </c>
      <c r="I122" s="84">
        <f t="shared" si="15"/>
        <v>24526.799999999999</v>
      </c>
      <c r="J122" s="84">
        <f t="shared" si="15"/>
        <v>24526.799999999999</v>
      </c>
      <c r="K122" s="84">
        <f t="shared" si="15"/>
        <v>24526.799999999999</v>
      </c>
      <c r="L122" s="84">
        <f t="shared" si="15"/>
        <v>24526.799999999999</v>
      </c>
      <c r="M122" s="84">
        <f t="shared" si="15"/>
        <v>24526.799999999999</v>
      </c>
      <c r="N122" s="541"/>
      <c r="O122" s="541"/>
    </row>
    <row r="123" spans="3:15" x14ac:dyDescent="0.25">
      <c r="C123" s="550" t="s">
        <v>417</v>
      </c>
      <c r="D123" s="84">
        <f>$J$108</f>
        <v>5738.4</v>
      </c>
      <c r="E123" s="84">
        <f t="shared" ref="E123:M123" si="16">$J$108</f>
        <v>5738.4</v>
      </c>
      <c r="F123" s="84">
        <f t="shared" si="16"/>
        <v>5738.4</v>
      </c>
      <c r="G123" s="84">
        <f t="shared" si="16"/>
        <v>5738.4</v>
      </c>
      <c r="H123" s="84">
        <f t="shared" si="16"/>
        <v>5738.4</v>
      </c>
      <c r="I123" s="84">
        <f t="shared" si="16"/>
        <v>5738.4</v>
      </c>
      <c r="J123" s="84">
        <f t="shared" si="16"/>
        <v>5738.4</v>
      </c>
      <c r="K123" s="84">
        <f t="shared" si="16"/>
        <v>5738.4</v>
      </c>
      <c r="L123" s="84">
        <f t="shared" si="16"/>
        <v>5738.4</v>
      </c>
      <c r="M123" s="84">
        <f t="shared" si="16"/>
        <v>5738.4</v>
      </c>
      <c r="N123" s="541"/>
      <c r="O123" s="541"/>
    </row>
    <row r="124" spans="3:15" x14ac:dyDescent="0.25">
      <c r="C124" s="550" t="s">
        <v>114</v>
      </c>
      <c r="D124" s="160">
        <f>SUM(D122:D123)</f>
        <v>30265.199999999997</v>
      </c>
      <c r="E124" s="160">
        <f t="shared" ref="E124:M124" si="17">SUM(E122:E123)</f>
        <v>30265.199999999997</v>
      </c>
      <c r="F124" s="160">
        <f t="shared" si="17"/>
        <v>30265.199999999997</v>
      </c>
      <c r="G124" s="160">
        <f t="shared" si="17"/>
        <v>30265.199999999997</v>
      </c>
      <c r="H124" s="160">
        <f t="shared" si="17"/>
        <v>30265.199999999997</v>
      </c>
      <c r="I124" s="160">
        <f t="shared" si="17"/>
        <v>30265.199999999997</v>
      </c>
      <c r="J124" s="160">
        <f t="shared" si="17"/>
        <v>30265.199999999997</v>
      </c>
      <c r="K124" s="160">
        <f t="shared" si="17"/>
        <v>30265.199999999997</v>
      </c>
      <c r="L124" s="160">
        <f t="shared" si="17"/>
        <v>30265.199999999997</v>
      </c>
      <c r="M124" s="160">
        <f t="shared" si="17"/>
        <v>30265.199999999997</v>
      </c>
      <c r="N124" s="541"/>
      <c r="O124" s="541"/>
    </row>
    <row r="125" spans="3:15" x14ac:dyDescent="0.25">
      <c r="C125" s="541"/>
      <c r="D125" s="541"/>
      <c r="E125" s="541"/>
      <c r="F125" s="541"/>
      <c r="G125" s="541"/>
      <c r="H125" s="541"/>
      <c r="I125" s="541"/>
      <c r="J125" s="541"/>
      <c r="K125" s="541"/>
      <c r="L125" s="541"/>
      <c r="M125" s="541"/>
      <c r="N125" s="541"/>
      <c r="O125" s="541"/>
    </row>
  </sheetData>
  <mergeCells count="74">
    <mergeCell ref="AN14:AY14"/>
    <mergeCell ref="AZ14:BK14"/>
    <mergeCell ref="C21:D21"/>
    <mergeCell ref="C12:D12"/>
    <mergeCell ref="D14:O14"/>
    <mergeCell ref="P14:AA14"/>
    <mergeCell ref="AB14:AM14"/>
    <mergeCell ref="BL14:BW14"/>
    <mergeCell ref="BX14:CI14"/>
    <mergeCell ref="CJ14:CU14"/>
    <mergeCell ref="CV14:DG14"/>
    <mergeCell ref="DH14:DS14"/>
    <mergeCell ref="DH23:DS23"/>
    <mergeCell ref="E39:F39"/>
    <mergeCell ref="E40:F40"/>
    <mergeCell ref="D23:O23"/>
    <mergeCell ref="P23:AA23"/>
    <mergeCell ref="AB23:AM23"/>
    <mergeCell ref="AN23:AY23"/>
    <mergeCell ref="AZ23:BK23"/>
    <mergeCell ref="BL23:BW23"/>
    <mergeCell ref="BX23:CI23"/>
    <mergeCell ref="CJ23:CU23"/>
    <mergeCell ref="CV23:DG23"/>
    <mergeCell ref="BX45:CI45"/>
    <mergeCell ref="CJ45:CU45"/>
    <mergeCell ref="CV45:DG45"/>
    <mergeCell ref="C43:D43"/>
    <mergeCell ref="D45:O45"/>
    <mergeCell ref="P45:AA45"/>
    <mergeCell ref="AB45:AM45"/>
    <mergeCell ref="AN45:AY45"/>
    <mergeCell ref="DH45:DS45"/>
    <mergeCell ref="DH54:DS54"/>
    <mergeCell ref="E69:F69"/>
    <mergeCell ref="E70:F70"/>
    <mergeCell ref="D54:O54"/>
    <mergeCell ref="P54:AA54"/>
    <mergeCell ref="AB54:AM54"/>
    <mergeCell ref="AN54:AY54"/>
    <mergeCell ref="AZ54:BK54"/>
    <mergeCell ref="BL54:BW54"/>
    <mergeCell ref="C52:D52"/>
    <mergeCell ref="AZ45:BK45"/>
    <mergeCell ref="BX54:CI54"/>
    <mergeCell ref="CJ54:CU54"/>
    <mergeCell ref="CV54:DG54"/>
    <mergeCell ref="BL45:BW45"/>
    <mergeCell ref="C73:D73"/>
    <mergeCell ref="D75:O75"/>
    <mergeCell ref="P75:AA75"/>
    <mergeCell ref="AB75:AM75"/>
    <mergeCell ref="AN75:AY75"/>
    <mergeCell ref="DH75:DS75"/>
    <mergeCell ref="CV84:DG84"/>
    <mergeCell ref="DH84:DS84"/>
    <mergeCell ref="D84:O84"/>
    <mergeCell ref="P84:AA84"/>
    <mergeCell ref="AB84:AM84"/>
    <mergeCell ref="AN84:AY84"/>
    <mergeCell ref="AZ84:BK84"/>
    <mergeCell ref="BL84:BW84"/>
    <mergeCell ref="C82:D82"/>
    <mergeCell ref="AZ75:BK75"/>
    <mergeCell ref="BL75:BW75"/>
    <mergeCell ref="BX75:CI75"/>
    <mergeCell ref="CJ75:CU75"/>
    <mergeCell ref="CV75:DG75"/>
    <mergeCell ref="E106:F106"/>
    <mergeCell ref="G106:H106"/>
    <mergeCell ref="D114:O114"/>
    <mergeCell ref="BX84:CI84"/>
    <mergeCell ref="CJ84:CU84"/>
    <mergeCell ref="C93:D93"/>
  </mergeCells>
  <pageMargins left="0.7" right="0.7" top="0.75" bottom="0.75" header="0.3" footer="0.3"/>
  <pageSetup orientation="portrait" horizontalDpi="4294967294" verticalDpi="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F47"/>
  <sheetViews>
    <sheetView topLeftCell="A7" zoomScale="85" zoomScaleNormal="85" workbookViewId="0">
      <selection activeCell="A12" sqref="A12"/>
    </sheetView>
  </sheetViews>
  <sheetFormatPr baseColWidth="10" defaultColWidth="7.42578125" defaultRowHeight="12.75" x14ac:dyDescent="0.25"/>
  <cols>
    <col min="1" max="1" width="7.42578125" style="439"/>
    <col min="2" max="2" width="20.85546875" style="439" customWidth="1"/>
    <col min="3" max="3" width="10" style="439" customWidth="1"/>
    <col min="4" max="4" width="8.42578125" style="439" customWidth="1"/>
    <col min="5" max="16384" width="7.42578125" style="439"/>
  </cols>
  <sheetData>
    <row r="2" spans="2:136" x14ac:dyDescent="0.25">
      <c r="B2" s="514" t="s">
        <v>129</v>
      </c>
      <c r="C2" s="515"/>
      <c r="D2" s="516"/>
    </row>
    <row r="4" spans="2:136" x14ac:dyDescent="0.25">
      <c r="E4" s="776" t="s">
        <v>38</v>
      </c>
      <c r="F4" s="777"/>
      <c r="G4" s="777"/>
      <c r="H4" s="777"/>
      <c r="I4" s="777"/>
      <c r="J4" s="777"/>
      <c r="K4" s="777"/>
      <c r="L4" s="777"/>
      <c r="M4" s="777"/>
      <c r="N4" s="777"/>
      <c r="O4" s="777"/>
      <c r="P4" s="778"/>
      <c r="Q4" s="776" t="s">
        <v>40</v>
      </c>
      <c r="R4" s="777"/>
      <c r="S4" s="777"/>
      <c r="T4" s="777"/>
      <c r="U4" s="777"/>
      <c r="V4" s="777"/>
      <c r="W4" s="777"/>
      <c r="X4" s="777"/>
      <c r="Y4" s="777"/>
      <c r="Z4" s="777"/>
      <c r="AA4" s="777"/>
      <c r="AB4" s="778"/>
      <c r="AC4" s="776" t="s">
        <v>41</v>
      </c>
      <c r="AD4" s="777"/>
      <c r="AE4" s="777"/>
      <c r="AF4" s="777"/>
      <c r="AG4" s="777"/>
      <c r="AH4" s="777"/>
      <c r="AI4" s="777"/>
      <c r="AJ4" s="777"/>
      <c r="AK4" s="777"/>
      <c r="AL4" s="777"/>
      <c r="AM4" s="777"/>
      <c r="AN4" s="778"/>
      <c r="AO4" s="776" t="s">
        <v>42</v>
      </c>
      <c r="AP4" s="777"/>
      <c r="AQ4" s="777"/>
      <c r="AR4" s="777"/>
      <c r="AS4" s="777"/>
      <c r="AT4" s="777"/>
      <c r="AU4" s="777"/>
      <c r="AV4" s="777"/>
      <c r="AW4" s="777"/>
      <c r="AX4" s="777"/>
      <c r="AY4" s="777"/>
      <c r="AZ4" s="778"/>
      <c r="BA4" s="776" t="s">
        <v>43</v>
      </c>
      <c r="BB4" s="777"/>
      <c r="BC4" s="777"/>
      <c r="BD4" s="777"/>
      <c r="BE4" s="777"/>
      <c r="BF4" s="777"/>
      <c r="BG4" s="777"/>
      <c r="BH4" s="777"/>
      <c r="BI4" s="777"/>
      <c r="BJ4" s="777"/>
      <c r="BK4" s="777"/>
      <c r="BL4" s="778"/>
      <c r="BM4" s="776" t="s">
        <v>44</v>
      </c>
      <c r="BN4" s="777"/>
      <c r="BO4" s="777"/>
      <c r="BP4" s="777"/>
      <c r="BQ4" s="777"/>
      <c r="BR4" s="777"/>
      <c r="BS4" s="777"/>
      <c r="BT4" s="777"/>
      <c r="BU4" s="777"/>
      <c r="BV4" s="777"/>
      <c r="BW4" s="777"/>
      <c r="BX4" s="778"/>
      <c r="BY4" s="776" t="s">
        <v>45</v>
      </c>
      <c r="BZ4" s="777"/>
      <c r="CA4" s="777"/>
      <c r="CB4" s="777"/>
      <c r="CC4" s="777"/>
      <c r="CD4" s="777"/>
      <c r="CE4" s="777"/>
      <c r="CF4" s="777"/>
      <c r="CG4" s="777"/>
      <c r="CH4" s="777"/>
      <c r="CI4" s="777"/>
      <c r="CJ4" s="778"/>
      <c r="CK4" s="776" t="s">
        <v>46</v>
      </c>
      <c r="CL4" s="777"/>
      <c r="CM4" s="777"/>
      <c r="CN4" s="777"/>
      <c r="CO4" s="777"/>
      <c r="CP4" s="777"/>
      <c r="CQ4" s="777"/>
      <c r="CR4" s="777"/>
      <c r="CS4" s="777"/>
      <c r="CT4" s="777"/>
      <c r="CU4" s="777"/>
      <c r="CV4" s="778"/>
      <c r="CW4" s="776" t="s">
        <v>47</v>
      </c>
      <c r="CX4" s="777"/>
      <c r="CY4" s="777"/>
      <c r="CZ4" s="777"/>
      <c r="DA4" s="777"/>
      <c r="DB4" s="777"/>
      <c r="DC4" s="777"/>
      <c r="DD4" s="777"/>
      <c r="DE4" s="777"/>
      <c r="DF4" s="777"/>
      <c r="DG4" s="777"/>
      <c r="DH4" s="778"/>
      <c r="DI4" s="776" t="s">
        <v>48</v>
      </c>
      <c r="DJ4" s="777"/>
      <c r="DK4" s="777"/>
      <c r="DL4" s="777"/>
      <c r="DM4" s="777"/>
      <c r="DN4" s="777"/>
      <c r="DO4" s="777"/>
      <c r="DP4" s="777"/>
      <c r="DQ4" s="777"/>
      <c r="DR4" s="777"/>
      <c r="DS4" s="777"/>
      <c r="DT4" s="778"/>
    </row>
    <row r="5" spans="2:136" x14ac:dyDescent="0.25">
      <c r="B5" s="776" t="s">
        <v>130</v>
      </c>
      <c r="C5" s="778"/>
      <c r="D5" s="300" t="s">
        <v>131</v>
      </c>
      <c r="E5" s="301" t="s">
        <v>0</v>
      </c>
      <c r="F5" s="301" t="s">
        <v>1</v>
      </c>
      <c r="G5" s="301" t="s">
        <v>49</v>
      </c>
      <c r="H5" s="301" t="s">
        <v>50</v>
      </c>
      <c r="I5" s="301" t="s">
        <v>51</v>
      </c>
      <c r="J5" s="301" t="s">
        <v>52</v>
      </c>
      <c r="K5" s="301" t="s">
        <v>53</v>
      </c>
      <c r="L5" s="301" t="s">
        <v>54</v>
      </c>
      <c r="M5" s="301" t="s">
        <v>55</v>
      </c>
      <c r="N5" s="301" t="s">
        <v>56</v>
      </c>
      <c r="O5" s="301" t="s">
        <v>57</v>
      </c>
      <c r="P5" s="300" t="s">
        <v>58</v>
      </c>
      <c r="Q5" s="301" t="s">
        <v>0</v>
      </c>
      <c r="R5" s="301" t="s">
        <v>1</v>
      </c>
      <c r="S5" s="301" t="s">
        <v>49</v>
      </c>
      <c r="T5" s="301" t="s">
        <v>50</v>
      </c>
      <c r="U5" s="301" t="s">
        <v>51</v>
      </c>
      <c r="V5" s="301" t="s">
        <v>52</v>
      </c>
      <c r="W5" s="301" t="s">
        <v>53</v>
      </c>
      <c r="X5" s="301" t="s">
        <v>54</v>
      </c>
      <c r="Y5" s="301" t="s">
        <v>55</v>
      </c>
      <c r="Z5" s="301" t="s">
        <v>56</v>
      </c>
      <c r="AA5" s="301" t="s">
        <v>57</v>
      </c>
      <c r="AB5" s="300" t="s">
        <v>58</v>
      </c>
      <c r="AC5" s="301" t="s">
        <v>0</v>
      </c>
      <c r="AD5" s="301" t="s">
        <v>1</v>
      </c>
      <c r="AE5" s="301" t="s">
        <v>49</v>
      </c>
      <c r="AF5" s="301" t="s">
        <v>50</v>
      </c>
      <c r="AG5" s="301" t="s">
        <v>51</v>
      </c>
      <c r="AH5" s="301" t="s">
        <v>52</v>
      </c>
      <c r="AI5" s="301" t="s">
        <v>53</v>
      </c>
      <c r="AJ5" s="301" t="s">
        <v>54</v>
      </c>
      <c r="AK5" s="301" t="s">
        <v>55</v>
      </c>
      <c r="AL5" s="301" t="s">
        <v>56</v>
      </c>
      <c r="AM5" s="301" t="s">
        <v>57</v>
      </c>
      <c r="AN5" s="300" t="s">
        <v>58</v>
      </c>
      <c r="AO5" s="301" t="s">
        <v>0</v>
      </c>
      <c r="AP5" s="301" t="s">
        <v>1</v>
      </c>
      <c r="AQ5" s="301" t="s">
        <v>49</v>
      </c>
      <c r="AR5" s="301" t="s">
        <v>50</v>
      </c>
      <c r="AS5" s="301" t="s">
        <v>51</v>
      </c>
      <c r="AT5" s="301" t="s">
        <v>52</v>
      </c>
      <c r="AU5" s="301" t="s">
        <v>53</v>
      </c>
      <c r="AV5" s="301" t="s">
        <v>54</v>
      </c>
      <c r="AW5" s="301" t="s">
        <v>55</v>
      </c>
      <c r="AX5" s="301" t="s">
        <v>56</v>
      </c>
      <c r="AY5" s="301" t="s">
        <v>57</v>
      </c>
      <c r="AZ5" s="300" t="s">
        <v>58</v>
      </c>
      <c r="BA5" s="301" t="s">
        <v>0</v>
      </c>
      <c r="BB5" s="301" t="s">
        <v>1</v>
      </c>
      <c r="BC5" s="301" t="s">
        <v>49</v>
      </c>
      <c r="BD5" s="301" t="s">
        <v>50</v>
      </c>
      <c r="BE5" s="301" t="s">
        <v>51</v>
      </c>
      <c r="BF5" s="301" t="s">
        <v>52</v>
      </c>
      <c r="BG5" s="301" t="s">
        <v>53</v>
      </c>
      <c r="BH5" s="301" t="s">
        <v>54</v>
      </c>
      <c r="BI5" s="301" t="s">
        <v>55</v>
      </c>
      <c r="BJ5" s="301" t="s">
        <v>56</v>
      </c>
      <c r="BK5" s="301" t="s">
        <v>57</v>
      </c>
      <c r="BL5" s="300" t="s">
        <v>58</v>
      </c>
      <c r="BM5" s="301" t="s">
        <v>0</v>
      </c>
      <c r="BN5" s="301" t="s">
        <v>1</v>
      </c>
      <c r="BO5" s="301" t="s">
        <v>49</v>
      </c>
      <c r="BP5" s="301" t="s">
        <v>50</v>
      </c>
      <c r="BQ5" s="301" t="s">
        <v>51</v>
      </c>
      <c r="BR5" s="301" t="s">
        <v>52</v>
      </c>
      <c r="BS5" s="301" t="s">
        <v>53</v>
      </c>
      <c r="BT5" s="301" t="s">
        <v>54</v>
      </c>
      <c r="BU5" s="301" t="s">
        <v>55</v>
      </c>
      <c r="BV5" s="301" t="s">
        <v>56</v>
      </c>
      <c r="BW5" s="301" t="s">
        <v>57</v>
      </c>
      <c r="BX5" s="300" t="s">
        <v>58</v>
      </c>
      <c r="BY5" s="301" t="s">
        <v>0</v>
      </c>
      <c r="BZ5" s="301" t="s">
        <v>1</v>
      </c>
      <c r="CA5" s="301" t="s">
        <v>49</v>
      </c>
      <c r="CB5" s="301" t="s">
        <v>50</v>
      </c>
      <c r="CC5" s="301" t="s">
        <v>51</v>
      </c>
      <c r="CD5" s="301" t="s">
        <v>52</v>
      </c>
      <c r="CE5" s="301" t="s">
        <v>53</v>
      </c>
      <c r="CF5" s="301" t="s">
        <v>54</v>
      </c>
      <c r="CG5" s="301" t="s">
        <v>55</v>
      </c>
      <c r="CH5" s="301" t="s">
        <v>56</v>
      </c>
      <c r="CI5" s="301" t="s">
        <v>57</v>
      </c>
      <c r="CJ5" s="300" t="s">
        <v>58</v>
      </c>
      <c r="CK5" s="301" t="s">
        <v>0</v>
      </c>
      <c r="CL5" s="301" t="s">
        <v>1</v>
      </c>
      <c r="CM5" s="301" t="s">
        <v>49</v>
      </c>
      <c r="CN5" s="301" t="s">
        <v>50</v>
      </c>
      <c r="CO5" s="301" t="s">
        <v>51</v>
      </c>
      <c r="CP5" s="301" t="s">
        <v>52</v>
      </c>
      <c r="CQ5" s="301" t="s">
        <v>53</v>
      </c>
      <c r="CR5" s="301" t="s">
        <v>54</v>
      </c>
      <c r="CS5" s="301" t="s">
        <v>55</v>
      </c>
      <c r="CT5" s="301" t="s">
        <v>56</v>
      </c>
      <c r="CU5" s="301" t="s">
        <v>57</v>
      </c>
      <c r="CV5" s="300" t="s">
        <v>58</v>
      </c>
      <c r="CW5" s="301" t="s">
        <v>0</v>
      </c>
      <c r="CX5" s="301" t="s">
        <v>1</v>
      </c>
      <c r="CY5" s="301" t="s">
        <v>49</v>
      </c>
      <c r="CZ5" s="301" t="s">
        <v>50</v>
      </c>
      <c r="DA5" s="301" t="s">
        <v>51</v>
      </c>
      <c r="DB5" s="301" t="s">
        <v>52</v>
      </c>
      <c r="DC5" s="301" t="s">
        <v>53</v>
      </c>
      <c r="DD5" s="301" t="s">
        <v>54</v>
      </c>
      <c r="DE5" s="301" t="s">
        <v>55</v>
      </c>
      <c r="DF5" s="301" t="s">
        <v>56</v>
      </c>
      <c r="DG5" s="301" t="s">
        <v>57</v>
      </c>
      <c r="DH5" s="300" t="s">
        <v>58</v>
      </c>
      <c r="DI5" s="301" t="s">
        <v>0</v>
      </c>
      <c r="DJ5" s="301" t="s">
        <v>1</v>
      </c>
      <c r="DK5" s="301" t="s">
        <v>49</v>
      </c>
      <c r="DL5" s="301" t="s">
        <v>50</v>
      </c>
      <c r="DM5" s="301" t="s">
        <v>51</v>
      </c>
      <c r="DN5" s="301" t="s">
        <v>52</v>
      </c>
      <c r="DO5" s="301" t="s">
        <v>53</v>
      </c>
      <c r="DP5" s="301" t="s">
        <v>54</v>
      </c>
      <c r="DQ5" s="301" t="s">
        <v>55</v>
      </c>
      <c r="DR5" s="301" t="s">
        <v>56</v>
      </c>
      <c r="DS5" s="301" t="s">
        <v>57</v>
      </c>
      <c r="DT5" s="300" t="s">
        <v>58</v>
      </c>
    </row>
    <row r="6" spans="2:136" x14ac:dyDescent="0.25">
      <c r="B6" s="820" t="s">
        <v>111</v>
      </c>
      <c r="C6" s="820"/>
      <c r="D6" s="13">
        <v>1.4999999999999999E-2</v>
      </c>
      <c r="E6" s="7">
        <f>'INGRESOS AFILIACIONES'!F59*$D$6</f>
        <v>883.60219647457279</v>
      </c>
      <c r="F6" s="7">
        <f>'INGRESOS AFILIACIONES'!G59*$D$6</f>
        <v>1073.8098464872189</v>
      </c>
      <c r="G6" s="7">
        <f>'INGRESOS AFILIACIONES'!H59*$D$6</f>
        <v>1243.6144468243333</v>
      </c>
      <c r="H6" s="7">
        <f>'INGRESOS AFILIACIONES'!I59*$D$6</f>
        <v>867.49762494730567</v>
      </c>
      <c r="I6" s="7">
        <f>'INGRESOS AFILIACIONES'!J59*$D$6</f>
        <v>867.49762494730567</v>
      </c>
      <c r="J6" s="7">
        <f>'INGRESOS AFILIACIONES'!K59*$D$6</f>
        <v>1124.2580792542331</v>
      </c>
      <c r="K6" s="7">
        <f>'INGRESOS AFILIACIONES'!L59*$D$6</f>
        <v>1247.7362749790314</v>
      </c>
      <c r="L6" s="7">
        <f>'INGRESOS AFILIACIONES'!M59*$D$6</f>
        <v>1330.8168743871286</v>
      </c>
      <c r="M6" s="7">
        <f>'INGRESOS AFILIACIONES'!N59*$D$6</f>
        <v>1337.1210634308193</v>
      </c>
      <c r="N6" s="7">
        <f>'INGRESOS AFILIACIONES'!O59*$D$6</f>
        <v>1247.7362749790314</v>
      </c>
      <c r="O6" s="7">
        <f>'INGRESOS AFILIACIONES'!P59*$D$6</f>
        <v>1191.2083455962888</v>
      </c>
      <c r="P6" s="7">
        <f>'INGRESOS AFILIACIONES'!Q59*$D$6</f>
        <v>1056.557051281347</v>
      </c>
      <c r="Q6" s="7">
        <f>'INGRESOS AFILIACIONES'!R59*$D$6</f>
        <v>1579.6005607464342</v>
      </c>
      <c r="R6" s="7">
        <f>'INGRESOS AFILIACIONES'!S59*$D$6</f>
        <v>1422.8123993743743</v>
      </c>
      <c r="S6" s="7">
        <f>'INGRESOS AFILIACIONES'!T59*$D$6</f>
        <v>1137.4402252742318</v>
      </c>
      <c r="T6" s="7">
        <f>'INGRESOS AFILIACIONES'!U59*$D$6</f>
        <v>846.5521133995494</v>
      </c>
      <c r="U6" s="7">
        <f>'INGRESOS AFILIACIONES'!V59*$D$6</f>
        <v>846.5521133995494</v>
      </c>
      <c r="V6" s="7">
        <f>'INGRESOS AFILIACIONES'!W59*$D$6</f>
        <v>1078.0485578816906</v>
      </c>
      <c r="W6" s="7">
        <f>'INGRESOS AFILIACIONES'!X59*$D$6</f>
        <v>1284.3941587656523</v>
      </c>
      <c r="X6" s="7">
        <f>'INGRESOS AFILIACIONES'!Y59*$D$6</f>
        <v>1338.7006068312994</v>
      </c>
      <c r="Y6" s="7">
        <f>'INGRESOS AFILIACIONES'!Z59*$D$6</f>
        <v>1409.5813308536842</v>
      </c>
      <c r="Z6" s="7">
        <f>'INGRESOS AFILIACIONES'!AA59*$D$6</f>
        <v>1284.3941587656523</v>
      </c>
      <c r="AA6" s="7">
        <f>'INGRESOS AFILIACIONES'!AB59*$D$6</f>
        <v>1120.8605151168429</v>
      </c>
      <c r="AB6" s="7">
        <f>'INGRESOS AFILIACIONES'!AC59*$D$6</f>
        <v>1064.6993548399398</v>
      </c>
      <c r="AC6" s="7">
        <f>'INGRESOS AFILIACIONES'!AD59*$D$6</f>
        <v>1690.1725999986852</v>
      </c>
      <c r="AD6" s="7">
        <f>'INGRESOS AFILIACIONES'!AE59*$D$6</f>
        <v>1522.4092673305806</v>
      </c>
      <c r="AE6" s="7">
        <f>'INGRESOS AFILIACIONES'!AF59*$D$6</f>
        <v>1217.0610410434283</v>
      </c>
      <c r="AF6" s="7">
        <f>'INGRESOS AFILIACIONES'!AG59*$D$6</f>
        <v>905.81076133751765</v>
      </c>
      <c r="AG6" s="7">
        <f>'INGRESOS AFILIACIONES'!AH59*$D$6</f>
        <v>905.81076133751765</v>
      </c>
      <c r="AH6" s="7">
        <f>'INGRESOS AFILIACIONES'!AI59*$D$6</f>
        <v>1153.511956933409</v>
      </c>
      <c r="AI6" s="7">
        <f>'INGRESOS AFILIACIONES'!AJ59*$D$6</f>
        <v>1374.3017498792481</v>
      </c>
      <c r="AJ6" s="7">
        <f>'INGRESOS AFILIACIONES'!AK59*$D$6</f>
        <v>1432.4096493094908</v>
      </c>
      <c r="AK6" s="7">
        <f>'INGRESOS AFILIACIONES'!AL59*$D$6</f>
        <v>1508.2520240134422</v>
      </c>
      <c r="AL6" s="7">
        <f>'INGRESOS AFILIACIONES'!AM59*$D$6</f>
        <v>1374.3017498792481</v>
      </c>
      <c r="AM6" s="7">
        <f>'INGRESOS AFILIACIONES'!AN59*$D$6</f>
        <v>1199.320751175022</v>
      </c>
      <c r="AN6" s="7">
        <f>'INGRESOS AFILIACIONES'!AO59*$D$6</f>
        <v>1139.2283096787357</v>
      </c>
      <c r="AO6" s="7">
        <f>'INGRESOS AFILIACIONES'!AP59*$D$6</f>
        <v>1808.4846819985933</v>
      </c>
      <c r="AP6" s="7">
        <f>'INGRESOS AFILIACIONES'!AQ59*$D$6</f>
        <v>1628.9779160437215</v>
      </c>
      <c r="AQ6" s="7">
        <f>'INGRESOS AFILIACIONES'!AR59*$D$6</f>
        <v>1302.2553139164684</v>
      </c>
      <c r="AR6" s="7">
        <f>'INGRESOS AFILIACIONES'!AS59*$D$6</f>
        <v>969.21751463114424</v>
      </c>
      <c r="AS6" s="7">
        <f>'INGRESOS AFILIACIONES'!AT59*$D$6</f>
        <v>969.21751463114424</v>
      </c>
      <c r="AT6" s="7">
        <f>'INGRESOS AFILIACIONES'!AU59*$D$6</f>
        <v>1234.2577939187481</v>
      </c>
      <c r="AU6" s="7">
        <f>'INGRESOS AFILIACIONES'!AV59*$D$6</f>
        <v>1470.5028723707958</v>
      </c>
      <c r="AV6" s="7">
        <f>'INGRESOS AFILIACIONES'!AW59*$D$6</f>
        <v>1532.6783247611552</v>
      </c>
      <c r="AW6" s="7">
        <f>'INGRESOS AFILIACIONES'!AX59*$D$6</f>
        <v>1613.8296656943833</v>
      </c>
      <c r="AX6" s="7">
        <f>'INGRESOS AFILIACIONES'!AY59*$D$6</f>
        <v>1470.5028723707958</v>
      </c>
      <c r="AY6" s="7">
        <f>'INGRESOS AFILIACIONES'!AZ59*$D$6</f>
        <v>1283.2732037572737</v>
      </c>
      <c r="AZ6" s="7">
        <f>'INGRESOS AFILIACIONES'!BA59*$D$6</f>
        <v>1218.9742913562475</v>
      </c>
      <c r="BA6" s="7">
        <f>'INGRESOS AFILIACIONES'!BB59*$D$6</f>
        <v>1935.0786097384951</v>
      </c>
      <c r="BB6" s="7">
        <f>'INGRESOS AFILIACIONES'!BC59*$D$6</f>
        <v>1743.0063701667821</v>
      </c>
      <c r="BC6" s="7">
        <f>'INGRESOS AFILIACIONES'!BD59*$D$6</f>
        <v>1393.4131858906212</v>
      </c>
      <c r="BD6" s="7">
        <f>'INGRESOS AFILIACIONES'!BE59*$D$6</f>
        <v>1037.0627406553244</v>
      </c>
      <c r="BE6" s="7">
        <f>'INGRESOS AFILIACIONES'!BF59*$D$6</f>
        <v>1037.0627406553244</v>
      </c>
      <c r="BF6" s="7">
        <f>'INGRESOS AFILIACIONES'!BG59*$D$6</f>
        <v>1320.6558394930603</v>
      </c>
      <c r="BG6" s="7">
        <f>'INGRESOS AFILIACIONES'!BH59*$D$6</f>
        <v>1573.4380734367512</v>
      </c>
      <c r="BH6" s="7">
        <f>'INGRESOS AFILIACIONES'!BI59*$D$6</f>
        <v>1639.9658074944366</v>
      </c>
      <c r="BI6" s="7">
        <f>'INGRESOS AFILIACIONES'!BJ59*$D$6</f>
        <v>1726.7977422929905</v>
      </c>
      <c r="BJ6" s="7">
        <f>'INGRESOS AFILIACIONES'!BK59*$D$6</f>
        <v>1573.4380734367512</v>
      </c>
      <c r="BK6" s="7">
        <f>'INGRESOS AFILIACIONES'!BL59*$D$6</f>
        <v>1373.1023280202828</v>
      </c>
      <c r="BL6" s="7">
        <f>'INGRESOS AFILIACIONES'!BM59*$D$6</f>
        <v>1304.3024917511848</v>
      </c>
      <c r="BM6" s="7">
        <f>'INGRESOS AFILIACIONES'!BN59*$D$6</f>
        <v>2070.5341124201891</v>
      </c>
      <c r="BN6" s="7">
        <f>'INGRESOS AFILIACIONES'!BO59*$D$6</f>
        <v>1865.0168160784569</v>
      </c>
      <c r="BO6" s="7">
        <f>'INGRESOS AFILIACIONES'!BP59*$D$6</f>
        <v>1490.9521089029649</v>
      </c>
      <c r="BP6" s="7">
        <f>'INGRESOS AFILIACIONES'!BQ59*$D$6</f>
        <v>1109.6571325011973</v>
      </c>
      <c r="BQ6" s="7">
        <f>'INGRESOS AFILIACIONES'!BR59*$D$6</f>
        <v>1109.6571325011973</v>
      </c>
      <c r="BR6" s="7">
        <f>'INGRESOS AFILIACIONES'!BS59*$D$6</f>
        <v>1413.1017482575746</v>
      </c>
      <c r="BS6" s="7">
        <f>'INGRESOS AFILIACIONES'!BT59*$D$6</f>
        <v>1683.5787385773242</v>
      </c>
      <c r="BT6" s="7">
        <f>'INGRESOS AFILIACIONES'!BU59*$D$6</f>
        <v>1754.7634140190471</v>
      </c>
      <c r="BU6" s="7">
        <f>'INGRESOS AFILIACIONES'!BV59*$D$6</f>
        <v>1847.6735842534997</v>
      </c>
      <c r="BV6" s="7">
        <f>'INGRESOS AFILIACIONES'!BW59*$D$6</f>
        <v>1683.5787385773242</v>
      </c>
      <c r="BW6" s="7">
        <f>'INGRESOS AFILIACIONES'!BX59*$D$6</f>
        <v>1469.2194909817028</v>
      </c>
      <c r="BX6" s="7">
        <f>'INGRESOS AFILIACIONES'!BY59*$D$6</f>
        <v>1395.6036661737678</v>
      </c>
      <c r="BY6" s="7">
        <f>'INGRESOS AFILIACIONES'!BZ59*$D$6</f>
        <v>2215.4715002896032</v>
      </c>
      <c r="BZ6" s="7">
        <f>'INGRESOS AFILIACIONES'!CA59*$D$6</f>
        <v>1995.5679932039493</v>
      </c>
      <c r="CA6" s="7">
        <f>'INGRESOS AFILIACIONES'!CB59*$D$6</f>
        <v>1595.3187565261726</v>
      </c>
      <c r="CB6" s="7">
        <f>'INGRESOS AFILIACIONES'!CC59*$D$6</f>
        <v>1187.3331317762811</v>
      </c>
      <c r="CC6" s="7">
        <f>'INGRESOS AFILIACIONES'!CD59*$D$6</f>
        <v>1187.3331317762811</v>
      </c>
      <c r="CD6" s="7">
        <f>'INGRESOS AFILIACIONES'!CE59*$D$6</f>
        <v>1512.0188706356053</v>
      </c>
      <c r="CE6" s="7">
        <f>'INGRESOS AFILIACIONES'!CF59*$D$6</f>
        <v>1801.4292502777371</v>
      </c>
      <c r="CF6" s="7">
        <f>'INGRESOS AFILIACIONES'!CG59*$D$6</f>
        <v>1877.5968530003806</v>
      </c>
      <c r="CG6" s="7">
        <f>'INGRESOS AFILIACIONES'!CH59*$D$6</f>
        <v>1977.0107351512452</v>
      </c>
      <c r="CH6" s="7">
        <f>'INGRESOS AFILIACIONES'!CI59*$D$6</f>
        <v>1801.4292502777371</v>
      </c>
      <c r="CI6" s="7">
        <f>'INGRESOS AFILIACIONES'!CJ59*$D$6</f>
        <v>1572.064855350422</v>
      </c>
      <c r="CJ6" s="7">
        <f>'INGRESOS AFILIACIONES'!CK59*$D$6</f>
        <v>1493.2959228059317</v>
      </c>
      <c r="CK6" s="7">
        <f>'INGRESOS AFILIACIONES'!CL59*$D$6</f>
        <v>2370.5545053098754</v>
      </c>
      <c r="CL6" s="7">
        <f>'INGRESOS AFILIACIONES'!CM59*$D$6</f>
        <v>2135.257752728226</v>
      </c>
      <c r="CM6" s="7">
        <f>'INGRESOS AFILIACIONES'!CN59*$D$6</f>
        <v>1706.9910694830048</v>
      </c>
      <c r="CN6" s="7">
        <f>'INGRESOS AFILIACIONES'!CO59*$D$6</f>
        <v>1270.446451000621</v>
      </c>
      <c r="CO6" s="7">
        <f>'INGRESOS AFILIACIONES'!CP59*$D$6</f>
        <v>1270.446451000621</v>
      </c>
      <c r="CP6" s="7">
        <f>'INGRESOS AFILIACIONES'!CQ59*$D$6</f>
        <v>1617.8601915800975</v>
      </c>
      <c r="CQ6" s="7">
        <f>'INGRESOS AFILIACIONES'!CR59*$D$6</f>
        <v>1927.5292977971785</v>
      </c>
      <c r="CR6" s="7">
        <f>'INGRESOS AFILIACIONES'!CS59*$D$6</f>
        <v>2009.028632710407</v>
      </c>
      <c r="CS6" s="7">
        <f>'INGRESOS AFILIACIONES'!CT59*$D$6</f>
        <v>2115.4014866118328</v>
      </c>
      <c r="CT6" s="7">
        <f>'INGRESOS AFILIACIONES'!CU59*$D$6</f>
        <v>1927.5292977971785</v>
      </c>
      <c r="CU6" s="7">
        <f>'INGRESOS AFILIACIONES'!CV59*$D$6</f>
        <v>1682.1093952249519</v>
      </c>
      <c r="CV6" s="7">
        <f>'INGRESOS AFILIACIONES'!CW59*$D$6</f>
        <v>1597.8266374023472</v>
      </c>
      <c r="CW6" s="7">
        <f>'INGRESOS AFILIACIONES'!CX59*$D$6</f>
        <v>2536.4933206815672</v>
      </c>
      <c r="CX6" s="7">
        <f>'INGRESOS AFILIACIONES'!CY59*$D$6</f>
        <v>2284.7257954192014</v>
      </c>
      <c r="CY6" s="7">
        <f>'INGRESOS AFILIACIONES'!CZ59*$D$6</f>
        <v>1826.4804443468149</v>
      </c>
      <c r="CZ6" s="7">
        <f>'INGRESOS AFILIACIONES'!DA59*$D$6</f>
        <v>1359.3777025706643</v>
      </c>
      <c r="DA6" s="7">
        <f>'INGRESOS AFILIACIONES'!DB59*$D$6</f>
        <v>1359.3777025706643</v>
      </c>
      <c r="DB6" s="7">
        <f>'INGRESOS AFILIACIONES'!DC59*$D$6</f>
        <v>1731.1104049907044</v>
      </c>
      <c r="DC6" s="7">
        <f>'INGRESOS AFILIACIONES'!DD59*$D$6</f>
        <v>2062.4563486429811</v>
      </c>
      <c r="DD6" s="7">
        <f>'INGRESOS AFILIACIONES'!DE59*$D$6</f>
        <v>2149.6606370001355</v>
      </c>
      <c r="DE6" s="7">
        <f>'INGRESOS AFILIACIONES'!DF59*$D$6</f>
        <v>2263.4795906746604</v>
      </c>
      <c r="DF6" s="7">
        <f>'INGRESOS AFILIACIONES'!DG59*$D$6</f>
        <v>2062.4563486429811</v>
      </c>
      <c r="DG6" s="7">
        <f>'INGRESOS AFILIACIONES'!DH59*$D$6</f>
        <v>1799.8570528906985</v>
      </c>
      <c r="DH6" s="7">
        <f>'INGRESOS AFILIACIONES'!DI59*$D$6</f>
        <v>1709.6745020205117</v>
      </c>
      <c r="DI6" s="7">
        <f>'INGRESOS AFILIACIONES'!DJ59*$D$6</f>
        <v>2714.0478531292765</v>
      </c>
      <c r="DJ6" s="7">
        <f>'INGRESOS AFILIACIONES'!DK59*$D$6</f>
        <v>2444.6566010985457</v>
      </c>
      <c r="DK6" s="7">
        <f>'INGRESOS AFILIACIONES'!DL59*$D$6</f>
        <v>1954.3340754510923</v>
      </c>
      <c r="DL6" s="7">
        <f>'INGRESOS AFILIACIONES'!DM59*$D$6</f>
        <v>1454.5341417506106</v>
      </c>
      <c r="DM6" s="7">
        <f>'INGRESOS AFILIACIONES'!DN59*$D$6</f>
        <v>1454.5341417506106</v>
      </c>
      <c r="DN6" s="7">
        <f>'INGRESOS AFILIACIONES'!DO59*$D$6</f>
        <v>1852.2881333400537</v>
      </c>
      <c r="DO6" s="7">
        <f>'INGRESOS AFILIACIONES'!DP59*$D$6</f>
        <v>2206.82829304799</v>
      </c>
      <c r="DP6" s="7">
        <f>'INGRESOS AFILIACIONES'!DQ59*$D$6</f>
        <v>2300.1368815901451</v>
      </c>
      <c r="DQ6" s="7">
        <f>'INGRESOS AFILIACIONES'!DR59*$D$6</f>
        <v>2421.923162021887</v>
      </c>
      <c r="DR6" s="7">
        <f>'INGRESOS AFILIACIONES'!DS59*$D$6</f>
        <v>2206.82829304799</v>
      </c>
      <c r="DS6" s="7">
        <f>'INGRESOS AFILIACIONES'!DT59*$D$6</f>
        <v>1925.8470465930473</v>
      </c>
      <c r="DT6" s="7">
        <f>'INGRESOS AFILIACIONES'!DU59*$D$6</f>
        <v>1829.3517171619474</v>
      </c>
    </row>
    <row r="7" spans="2:136" x14ac:dyDescent="0.25">
      <c r="B7" s="819" t="s">
        <v>112</v>
      </c>
      <c r="C7" s="819"/>
      <c r="D7" s="13">
        <v>1.4999999999999999E-2</v>
      </c>
      <c r="E7" s="7">
        <f>'INGRESOS AFILIACIONES'!F60*$D$7</f>
        <v>456.87076637288152</v>
      </c>
      <c r="F7" s="7">
        <f>'INGRESOS AFILIACIONES'!G60*$D$7</f>
        <v>555.21854683107915</v>
      </c>
      <c r="G7" s="7">
        <f>'INGRESOS AFILIACIONES'!H60*$D$7</f>
        <v>643.01683230296328</v>
      </c>
      <c r="H7" s="7">
        <f>'INGRESOS AFILIACIONES'!I60*$D$7</f>
        <v>448.54382019152808</v>
      </c>
      <c r="I7" s="7">
        <f>'INGRESOS AFILIACIONES'!J60*$D$7</f>
        <v>448.54382019152808</v>
      </c>
      <c r="J7" s="7">
        <f>'INGRESOS AFILIACIONES'!K60*$D$7</f>
        <v>581.30304827118687</v>
      </c>
      <c r="K7" s="7">
        <f>'INGRESOS AFILIACIONES'!L60*$D$7</f>
        <v>645.14804337895146</v>
      </c>
      <c r="L7" s="7">
        <f>'INGRESOS AFILIACIONES'!M60*$D$7</f>
        <v>688.10526697316425</v>
      </c>
      <c r="M7" s="7">
        <f>'INGRESOS AFILIACIONES'!N60*$D$7</f>
        <v>691.36487824534322</v>
      </c>
      <c r="N7" s="7">
        <f>'INGRESOS AFILIACIONES'!O60*$D$7</f>
        <v>645.14804337895146</v>
      </c>
      <c r="O7" s="7">
        <f>'INGRESOS AFILIACIONES'!P60*$D$7</f>
        <v>615.92000555649349</v>
      </c>
      <c r="P7" s="7">
        <f>'INGRESOS AFILIACIONES'!Q60*$D$7</f>
        <v>546.29790607302073</v>
      </c>
      <c r="Q7" s="7">
        <f>'INGRESOS AFILIACIONES'!R60*$D$7</f>
        <v>816.74006881220362</v>
      </c>
      <c r="R7" s="7">
        <f>'INGRESOS AFILIACIONES'!S60*$D$7</f>
        <v>735.67199572450909</v>
      </c>
      <c r="S7" s="7">
        <f>'INGRESOS AFILIACIONES'!T60*$D$7</f>
        <v>588.11894028529105</v>
      </c>
      <c r="T7" s="7">
        <f>'INGRESOS AFILIACIONES'!U60*$D$7</f>
        <v>437.71384268459593</v>
      </c>
      <c r="U7" s="7">
        <f>'INGRESOS AFILIACIONES'!V60*$D$7</f>
        <v>437.71384268459593</v>
      </c>
      <c r="V7" s="7">
        <f>'INGRESOS AFILIACIONES'!W60*$D$7</f>
        <v>557.41019294847479</v>
      </c>
      <c r="W7" s="7">
        <f>'INGRESOS AFILIACIONES'!X60*$D$7</f>
        <v>664.10217853844165</v>
      </c>
      <c r="X7" s="7">
        <f>'INGRESOS AFILIACIONES'!Y60*$D$7</f>
        <v>692.18158875916481</v>
      </c>
      <c r="Y7" s="7">
        <f>'INGRESOS AFILIACIONES'!Z60*$D$7</f>
        <v>728.83080809607429</v>
      </c>
      <c r="Z7" s="7">
        <f>'INGRESOS AFILIACIONES'!AA60*$D$7</f>
        <v>664.10217853844165</v>
      </c>
      <c r="AA7" s="7">
        <f>'INGRESOS AFILIACIONES'!AB60*$D$7</f>
        <v>579.54632138951558</v>
      </c>
      <c r="AB7" s="7">
        <f>'INGRESOS AFILIACIONES'!AC60*$D$7</f>
        <v>550.50792329762362</v>
      </c>
      <c r="AC7" s="7">
        <f>'INGRESOS AFILIACIONES'!AD60*$D$7</f>
        <v>873.91187362905805</v>
      </c>
      <c r="AD7" s="7">
        <f>'INGRESOS AFILIACIONES'!AE60*$D$7</f>
        <v>787.16903542522482</v>
      </c>
      <c r="AE7" s="7">
        <f>'INGRESOS AFILIACIONES'!AF60*$D$7</f>
        <v>629.28726610526166</v>
      </c>
      <c r="AF7" s="7">
        <f>'INGRESOS AFILIACIONES'!AG60*$D$7</f>
        <v>468.35381167251774</v>
      </c>
      <c r="AG7" s="7">
        <f>'INGRESOS AFILIACIONES'!AH60*$D$7</f>
        <v>468.35381167251774</v>
      </c>
      <c r="AH7" s="7">
        <f>'INGRESOS AFILIACIONES'!AI60*$D$7</f>
        <v>596.42890645486818</v>
      </c>
      <c r="AI7" s="7">
        <f>'INGRESOS AFILIACIONES'!AJ60*$D$7</f>
        <v>710.58933103613265</v>
      </c>
      <c r="AJ7" s="7">
        <f>'INGRESOS AFILIACIONES'!AK60*$D$7</f>
        <v>740.63429997230628</v>
      </c>
      <c r="AK7" s="7">
        <f>'INGRESOS AFILIACIONES'!AL60*$D$7</f>
        <v>779.8489646627994</v>
      </c>
      <c r="AL7" s="7">
        <f>'INGRESOS AFILIACIONES'!AM60*$D$7</f>
        <v>710.58933103613265</v>
      </c>
      <c r="AM7" s="7">
        <f>'INGRESOS AFILIACIONES'!AN60*$D$7</f>
        <v>620.11456388678175</v>
      </c>
      <c r="AN7" s="7">
        <f>'INGRESOS AFILIACIONES'!AO60*$D$7</f>
        <v>589.04347792845726</v>
      </c>
      <c r="AO7" s="7">
        <f>'INGRESOS AFILIACIONES'!AP60*$D$7</f>
        <v>935.08570478309207</v>
      </c>
      <c r="AP7" s="7">
        <f>'INGRESOS AFILIACIONES'!AQ60*$D$7</f>
        <v>842.27086790499061</v>
      </c>
      <c r="AQ7" s="7">
        <f>'INGRESOS AFILIACIONES'!AR60*$D$7</f>
        <v>673.33737473262988</v>
      </c>
      <c r="AR7" s="7">
        <f>'INGRESOS AFILIACIONES'!AS60*$D$7</f>
        <v>501.13857848959401</v>
      </c>
      <c r="AS7" s="7">
        <f>'INGRESOS AFILIACIONES'!AT60*$D$7</f>
        <v>501.13857848959401</v>
      </c>
      <c r="AT7" s="7">
        <f>'INGRESOS AFILIACIONES'!AU60*$D$7</f>
        <v>638.17892990670885</v>
      </c>
      <c r="AU7" s="7">
        <f>'INGRESOS AFILIACIONES'!AV60*$D$7</f>
        <v>760.33058420866212</v>
      </c>
      <c r="AV7" s="7">
        <f>'INGRESOS AFILIACIONES'!AW60*$D$7</f>
        <v>792.47870097036787</v>
      </c>
      <c r="AW7" s="7">
        <f>'INGRESOS AFILIACIONES'!AX60*$D$7</f>
        <v>834.43839218919538</v>
      </c>
      <c r="AX7" s="7">
        <f>'INGRESOS AFILIACIONES'!AY60*$D$7</f>
        <v>760.33058420866212</v>
      </c>
      <c r="AY7" s="7">
        <f>'INGRESOS AFILIACIONES'!AZ60*$D$7</f>
        <v>663.52258335885665</v>
      </c>
      <c r="AZ7" s="7">
        <f>'INGRESOS AFILIACIONES'!BA60*$D$7</f>
        <v>630.27652138344934</v>
      </c>
      <c r="BA7" s="7">
        <f>'INGRESOS AFILIACIONES'!BB60*$D$7</f>
        <v>1000.5417041179087</v>
      </c>
      <c r="BB7" s="7">
        <f>'INGRESOS AFILIACIONES'!BC60*$D$7</f>
        <v>901.22982865834013</v>
      </c>
      <c r="BC7" s="7">
        <f>'INGRESOS AFILIACIONES'!BD60*$D$7</f>
        <v>720.47099096391401</v>
      </c>
      <c r="BD7" s="7">
        <f>'INGRESOS AFILIACIONES'!BE60*$D$7</f>
        <v>536.2182789838655</v>
      </c>
      <c r="BE7" s="7">
        <f>'INGRESOS AFILIACIONES'!BF60*$D$7</f>
        <v>536.2182789838655</v>
      </c>
      <c r="BF7" s="7">
        <f>'INGRESOS AFILIACIONES'!BG60*$D$7</f>
        <v>682.85145500017859</v>
      </c>
      <c r="BG7" s="7">
        <f>'INGRESOS AFILIACIONES'!BH60*$D$7</f>
        <v>813.55372510326845</v>
      </c>
      <c r="BH7" s="7">
        <f>'INGRESOS AFILIACIONES'!BI60*$D$7</f>
        <v>847.95221003829374</v>
      </c>
      <c r="BI7" s="7">
        <f>'INGRESOS AFILIACIONES'!BJ60*$D$7</f>
        <v>892.84907964243916</v>
      </c>
      <c r="BJ7" s="7">
        <f>'INGRESOS AFILIACIONES'!BK60*$D$7</f>
        <v>813.55372510326845</v>
      </c>
      <c r="BK7" s="7">
        <f>'INGRESOS AFILIACIONES'!BL60*$D$7</f>
        <v>709.96916419397667</v>
      </c>
      <c r="BL7" s="7">
        <f>'INGRESOS AFILIACIONES'!BM60*$D$7</f>
        <v>674.39587788029087</v>
      </c>
      <c r="BM7" s="7">
        <f>'INGRESOS AFILIACIONES'!BN60*$D$7</f>
        <v>1070.5796234061622</v>
      </c>
      <c r="BN7" s="7">
        <f>'INGRESOS AFILIACIONES'!BO60*$D$7</f>
        <v>964.31591666442398</v>
      </c>
      <c r="BO7" s="7">
        <f>'INGRESOS AFILIACIONES'!BP60*$D$7</f>
        <v>770.90396033138813</v>
      </c>
      <c r="BP7" s="7">
        <f>'INGRESOS AFILIACIONES'!BQ60*$D$7</f>
        <v>573.75355851273616</v>
      </c>
      <c r="BQ7" s="7">
        <f>'INGRESOS AFILIACIONES'!BR60*$D$7</f>
        <v>573.75355851273616</v>
      </c>
      <c r="BR7" s="7">
        <f>'INGRESOS AFILIACIONES'!BS60*$D$7</f>
        <v>730.65105685019114</v>
      </c>
      <c r="BS7" s="7">
        <f>'INGRESOS AFILIACIONES'!BT60*$D$7</f>
        <v>870.50248586049747</v>
      </c>
      <c r="BT7" s="7">
        <f>'INGRESOS AFILIACIONES'!BU60*$D$7</f>
        <v>907.30886474097451</v>
      </c>
      <c r="BU7" s="7">
        <f>'INGRESOS AFILIACIONES'!BV60*$D$7</f>
        <v>955.34851521741018</v>
      </c>
      <c r="BV7" s="7">
        <f>'INGRESOS AFILIACIONES'!BW60*$D$7</f>
        <v>870.50248586049747</v>
      </c>
      <c r="BW7" s="7">
        <f>'INGRESOS AFILIACIONES'!BX60*$D$7</f>
        <v>759.66700568755516</v>
      </c>
      <c r="BX7" s="7">
        <f>'INGRESOS AFILIACIONES'!BY60*$D$7</f>
        <v>721.60358933191128</v>
      </c>
      <c r="BY7" s="7">
        <f>'INGRESOS AFILIACIONES'!BZ60*$D$7</f>
        <v>1145.5201970445937</v>
      </c>
      <c r="BZ7" s="7">
        <f>'INGRESOS AFILIACIONES'!CA60*$D$7</f>
        <v>1031.8180308309338</v>
      </c>
      <c r="CA7" s="7">
        <f>'INGRESOS AFILIACIONES'!CB60*$D$7</f>
        <v>824.86723755458536</v>
      </c>
      <c r="CB7" s="7">
        <f>'INGRESOS AFILIACIONES'!CC60*$D$7</f>
        <v>613.91630760862779</v>
      </c>
      <c r="CC7" s="7">
        <f>'INGRESOS AFILIACIONES'!CD60*$D$7</f>
        <v>613.91630760862779</v>
      </c>
      <c r="CD7" s="7">
        <f>'INGRESOS AFILIACIONES'!CE60*$D$7</f>
        <v>781.79663082970455</v>
      </c>
      <c r="CE7" s="7">
        <f>'INGRESOS AFILIACIONES'!CF60*$D$7</f>
        <v>931.43765987073243</v>
      </c>
      <c r="CF7" s="7">
        <f>'INGRESOS AFILIACIONES'!CG60*$D$7</f>
        <v>970.82048527284257</v>
      </c>
      <c r="CG7" s="7">
        <f>'INGRESOS AFILIACIONES'!CH60*$D$7</f>
        <v>1022.222911282629</v>
      </c>
      <c r="CH7" s="7">
        <f>'INGRESOS AFILIACIONES'!CI60*$D$7</f>
        <v>931.43765987073243</v>
      </c>
      <c r="CI7" s="7">
        <f>'INGRESOS AFILIACIONES'!CJ60*$D$7</f>
        <v>812.84369608568397</v>
      </c>
      <c r="CJ7" s="7">
        <f>'INGRESOS AFILIACIONES'!CK60*$D$7</f>
        <v>772.11584058514518</v>
      </c>
      <c r="CK7" s="7">
        <f>'INGRESOS AFILIACIONES'!CL60*$D$7</f>
        <v>1225.7066108377155</v>
      </c>
      <c r="CL7" s="7">
        <f>'INGRESOS AFILIACIONES'!CM60*$D$7</f>
        <v>1104.0452929890992</v>
      </c>
      <c r="CM7" s="7">
        <f>'INGRESOS AFILIACIONES'!CN60*$D$7</f>
        <v>882.6079441834064</v>
      </c>
      <c r="CN7" s="7">
        <f>'INGRESOS AFILIACIONES'!CO60*$D$7</f>
        <v>656.89044914123178</v>
      </c>
      <c r="CO7" s="7">
        <f>'INGRESOS AFILIACIONES'!CP60*$D$7</f>
        <v>656.89044914123178</v>
      </c>
      <c r="CP7" s="7">
        <f>'INGRESOS AFILIACIONES'!CQ60*$D$7</f>
        <v>836.52239498778385</v>
      </c>
      <c r="CQ7" s="7">
        <f>'INGRESOS AFILIACIONES'!CR60*$D$7</f>
        <v>996.63829606168349</v>
      </c>
      <c r="CR7" s="7">
        <f>'INGRESOS AFILIACIONES'!CS60*$D$7</f>
        <v>1038.7779192419418</v>
      </c>
      <c r="CS7" s="7">
        <f>'INGRESOS AFILIACIONES'!CT60*$D$7</f>
        <v>1093.7785150724128</v>
      </c>
      <c r="CT7" s="7">
        <f>'INGRESOS AFILIACIONES'!CU60*$D$7</f>
        <v>996.63829606168349</v>
      </c>
      <c r="CU7" s="7">
        <f>'INGRESOS AFILIACIONES'!CV60*$D$7</f>
        <v>869.74275481168195</v>
      </c>
      <c r="CV7" s="7">
        <f>'INGRESOS AFILIACIONES'!CW60*$D$7</f>
        <v>826.16394942610532</v>
      </c>
      <c r="CW7" s="7">
        <f>'INGRESOS AFILIACIONES'!CX60*$D$7</f>
        <v>1311.5060735963559</v>
      </c>
      <c r="CX7" s="7">
        <f>'INGRESOS AFILIACIONES'!CY60*$D$7</f>
        <v>1181.3284634983359</v>
      </c>
      <c r="CY7" s="7">
        <f>'INGRESOS AFILIACIONES'!CZ60*$D$7</f>
        <v>944.39050027624467</v>
      </c>
      <c r="CZ7" s="7">
        <f>'INGRESOS AFILIACIONES'!DA60*$D$7</f>
        <v>702.87278058111804</v>
      </c>
      <c r="DA7" s="7">
        <f>'INGRESOS AFILIACIONES'!DB60*$D$7</f>
        <v>702.87278058111804</v>
      </c>
      <c r="DB7" s="7">
        <f>'INGRESOS AFILIACIONES'!DC60*$D$7</f>
        <v>895.07896263692885</v>
      </c>
      <c r="DC7" s="7">
        <f>'INGRESOS AFILIACIONES'!DD60*$D$7</f>
        <v>1066.4029767860013</v>
      </c>
      <c r="DD7" s="7">
        <f>'INGRESOS AFILIACIONES'!DE60*$D$7</f>
        <v>1111.4923735888776</v>
      </c>
      <c r="DE7" s="7">
        <f>'INGRESOS AFILIACIONES'!DF60*$D$7</f>
        <v>1170.3430111274818</v>
      </c>
      <c r="DF7" s="7">
        <f>'INGRESOS AFILIACIONES'!DG60*$D$7</f>
        <v>1066.4029767860013</v>
      </c>
      <c r="DG7" s="7">
        <f>'INGRESOS AFILIACIONES'!DH60*$D$7</f>
        <v>930.62474764849969</v>
      </c>
      <c r="DH7" s="7">
        <f>'INGRESOS AFILIACIONES'!DI60*$D$7</f>
        <v>883.99542588593295</v>
      </c>
      <c r="DI7" s="7">
        <f>'INGRESOS AFILIACIONES'!DJ60*$D$7</f>
        <v>1403.3114987481003</v>
      </c>
      <c r="DJ7" s="7">
        <f>'INGRESOS AFILIACIONES'!DK60*$D$7</f>
        <v>1264.0214559432193</v>
      </c>
      <c r="DK7" s="7">
        <f>'INGRESOS AFILIACIONES'!DL60*$D$7</f>
        <v>1010.497835295582</v>
      </c>
      <c r="DL7" s="7">
        <f>'INGRESOS AFILIACIONES'!DM60*$D$7</f>
        <v>752.07387522179636</v>
      </c>
      <c r="DM7" s="7">
        <f>'INGRESOS AFILIACIONES'!DN60*$D$7</f>
        <v>752.07387522179636</v>
      </c>
      <c r="DN7" s="7">
        <f>'INGRESOS AFILIACIONES'!DO60*$D$7</f>
        <v>957.73449002151403</v>
      </c>
      <c r="DO7" s="7">
        <f>'INGRESOS AFILIACIONES'!DP60*$D$7</f>
        <v>1141.0511851610215</v>
      </c>
      <c r="DP7" s="7">
        <f>'INGRESOS AFILIACIONES'!DQ60*$D$7</f>
        <v>1189.2968397400991</v>
      </c>
      <c r="DQ7" s="7">
        <f>'INGRESOS AFILIACIONES'!DR60*$D$7</f>
        <v>1252.2670219064057</v>
      </c>
      <c r="DR7" s="7">
        <f>'INGRESOS AFILIACIONES'!DS60*$D$7</f>
        <v>1141.0511851610215</v>
      </c>
      <c r="DS7" s="7">
        <f>'INGRESOS AFILIACIONES'!DT60*$D$7</f>
        <v>995.76847998389474</v>
      </c>
      <c r="DT7" s="7">
        <f>'INGRESOS AFILIACIONES'!DU60*$D$7</f>
        <v>945.87510569794813</v>
      </c>
    </row>
    <row r="8" spans="2:136" x14ac:dyDescent="0.25">
      <c r="B8" s="819" t="s">
        <v>132</v>
      </c>
      <c r="C8" s="819"/>
      <c r="D8" s="13">
        <v>0.01</v>
      </c>
      <c r="E8" s="7">
        <f>'INGRESOS AFILIACIONES'!F61*$D$8</f>
        <v>0</v>
      </c>
      <c r="F8" s="7">
        <f>'INGRESOS AFILIACIONES'!G61*$D$8</f>
        <v>0</v>
      </c>
      <c r="G8" s="7">
        <f>'INGRESOS AFILIACIONES'!H61*$D$8</f>
        <v>0</v>
      </c>
      <c r="H8" s="7">
        <f>'INGRESOS AFILIACIONES'!I61*$D$8</f>
        <v>176.72043929491454</v>
      </c>
      <c r="I8" s="7">
        <f>'INGRESOS AFILIACIONES'!J61*$D$8</f>
        <v>214.76196929744384</v>
      </c>
      <c r="J8" s="7">
        <f>'INGRESOS AFILIACIONES'!K61*$D$8</f>
        <v>248.72288936486669</v>
      </c>
      <c r="K8" s="7">
        <f>'INGRESOS AFILIACIONES'!L61*$D$8</f>
        <v>173.49952498946115</v>
      </c>
      <c r="L8" s="7">
        <f>'INGRESOS AFILIACIONES'!M61*$D$8</f>
        <v>173.49952498946115</v>
      </c>
      <c r="M8" s="7">
        <f>'INGRESOS AFILIACIONES'!N61*$D$8</f>
        <v>224.85161585084663</v>
      </c>
      <c r="N8" s="7">
        <f>'INGRESOS AFILIACIONES'!O61*$D$8</f>
        <v>249.54725499580627</v>
      </c>
      <c r="O8" s="7">
        <f>'INGRESOS AFILIACIONES'!P61*$D$8</f>
        <v>266.16337487742572</v>
      </c>
      <c r="P8" s="7">
        <f>'INGRESOS AFILIACIONES'!Q61*$D$8</f>
        <v>267.42421268616391</v>
      </c>
      <c r="Q8" s="7">
        <f>'INGRESOS AFILIACIONES'!R61*$D$8</f>
        <v>249.54725499580627</v>
      </c>
      <c r="R8" s="7">
        <f>'INGRESOS AFILIACIONES'!S61*$D$8</f>
        <v>238.24166911925775</v>
      </c>
      <c r="S8" s="7">
        <f>'INGRESOS AFILIACIONES'!T61*$D$8</f>
        <v>211.31141025626943</v>
      </c>
      <c r="T8" s="7">
        <f>'INGRESOS AFILIACIONES'!U61*$D$8</f>
        <v>315.92011214928687</v>
      </c>
      <c r="U8" s="7">
        <f>'INGRESOS AFILIACIONES'!V61*$D$8</f>
        <v>284.5624798748749</v>
      </c>
      <c r="V8" s="7">
        <f>'INGRESOS AFILIACIONES'!W61*$D$8</f>
        <v>227.48804505484637</v>
      </c>
      <c r="W8" s="7">
        <f>'INGRESOS AFILIACIONES'!X61*$D$8</f>
        <v>169.31042267990986</v>
      </c>
      <c r="X8" s="7">
        <f>'INGRESOS AFILIACIONES'!Y61*$D$8</f>
        <v>169.31042267990986</v>
      </c>
      <c r="Y8" s="7">
        <f>'INGRESOS AFILIACIONES'!Z61*$D$8</f>
        <v>215.60971157633813</v>
      </c>
      <c r="Z8" s="7">
        <f>'INGRESOS AFILIACIONES'!AA61*$D$8</f>
        <v>256.8788317531305</v>
      </c>
      <c r="AA8" s="7">
        <f>'INGRESOS AFILIACIONES'!AB61*$D$8</f>
        <v>267.74012136625993</v>
      </c>
      <c r="AB8" s="7">
        <f>'INGRESOS AFILIACIONES'!AC61*$D$8</f>
        <v>281.91626617073683</v>
      </c>
      <c r="AC8" s="7">
        <f>'INGRESOS AFILIACIONES'!AD61*$D$8</f>
        <v>256.8788317531305</v>
      </c>
      <c r="AD8" s="7">
        <f>'INGRESOS AFILIACIONES'!AE61*$D$8</f>
        <v>224.17210302336855</v>
      </c>
      <c r="AE8" s="7">
        <f>'INGRESOS AFILIACIONES'!AF61*$D$8</f>
        <v>212.93987096798796</v>
      </c>
      <c r="AF8" s="7">
        <f>'INGRESOS AFILIACIONES'!AG61*$D$8</f>
        <v>338.03451999973709</v>
      </c>
      <c r="AG8" s="7">
        <f>'INGRESOS AFILIACIONES'!AH61*$D$8</f>
        <v>304.48185346611615</v>
      </c>
      <c r="AH8" s="7">
        <f>'INGRESOS AFILIACIONES'!AI61*$D$8</f>
        <v>243.41220820868566</v>
      </c>
      <c r="AI8" s="7">
        <f>'INGRESOS AFILIACIONES'!AJ61*$D$8</f>
        <v>181.16215226750356</v>
      </c>
      <c r="AJ8" s="7">
        <f>'INGRESOS AFILIACIONES'!AK61*$D$8</f>
        <v>181.16215226750356</v>
      </c>
      <c r="AK8" s="7">
        <f>'INGRESOS AFILIACIONES'!AL61*$D$8</f>
        <v>230.70239138668185</v>
      </c>
      <c r="AL8" s="7">
        <f>'INGRESOS AFILIACIONES'!AM61*$D$8</f>
        <v>274.8603499758496</v>
      </c>
      <c r="AM8" s="7">
        <f>'INGRESOS AFILIACIONES'!AN61*$D$8</f>
        <v>286.48192986189815</v>
      </c>
      <c r="AN8" s="7">
        <f>'INGRESOS AFILIACIONES'!AO61*$D$8</f>
        <v>301.65040480268846</v>
      </c>
      <c r="AO8" s="7">
        <f>'INGRESOS AFILIACIONES'!AP61*$D$8</f>
        <v>274.8603499758496</v>
      </c>
      <c r="AP8" s="7">
        <f>'INGRESOS AFILIACIONES'!AQ61*$D$8</f>
        <v>239.86415023500436</v>
      </c>
      <c r="AQ8" s="7">
        <f>'INGRESOS AFILIACIONES'!AR61*$D$8</f>
        <v>227.84566193574713</v>
      </c>
      <c r="AR8" s="7">
        <f>'INGRESOS AFILIACIONES'!AS61*$D$8</f>
        <v>361.6969363997186</v>
      </c>
      <c r="AS8" s="7">
        <f>'INGRESOS AFILIACIONES'!AT61*$D$8</f>
        <v>325.79558320874435</v>
      </c>
      <c r="AT8" s="7">
        <f>'INGRESOS AFILIACIONES'!AU61*$D$8</f>
        <v>260.45106278329365</v>
      </c>
      <c r="AU8" s="7">
        <f>'INGRESOS AFILIACIONES'!AV61*$D$8</f>
        <v>193.84350292622884</v>
      </c>
      <c r="AV8" s="7">
        <f>'INGRESOS AFILIACIONES'!AW61*$D$8</f>
        <v>193.84350292622884</v>
      </c>
      <c r="AW8" s="7">
        <f>'INGRESOS AFILIACIONES'!AX61*$D$8</f>
        <v>246.85155878374957</v>
      </c>
      <c r="AX8" s="7">
        <f>'INGRESOS AFILIACIONES'!AY61*$D$8</f>
        <v>294.10057447415915</v>
      </c>
      <c r="AY8" s="7">
        <f>'INGRESOS AFILIACIONES'!AZ61*$D$8</f>
        <v>306.535664952231</v>
      </c>
      <c r="AZ8" s="7">
        <f>'INGRESOS AFILIACIONES'!BA61*$D$8</f>
        <v>322.76593313887668</v>
      </c>
      <c r="BA8" s="7">
        <f>'INGRESOS AFILIACIONES'!BB61*$D$8</f>
        <v>294.10057447415915</v>
      </c>
      <c r="BB8" s="7">
        <f>'INGRESOS AFILIACIONES'!BC61*$D$8</f>
        <v>256.65464075145474</v>
      </c>
      <c r="BC8" s="7">
        <f>'INGRESOS AFILIACIONES'!BD61*$D$8</f>
        <v>243.7948582712495</v>
      </c>
      <c r="BD8" s="7">
        <f>'INGRESOS AFILIACIONES'!BE61*$D$8</f>
        <v>387.01572194769898</v>
      </c>
      <c r="BE8" s="7">
        <f>'INGRESOS AFILIACIONES'!BF61*$D$8</f>
        <v>348.60127403335639</v>
      </c>
      <c r="BF8" s="7">
        <f>'INGRESOS AFILIACIONES'!BG61*$D$8</f>
        <v>278.68263717812425</v>
      </c>
      <c r="BG8" s="7">
        <f>'INGRESOS AFILIACIONES'!BH61*$D$8</f>
        <v>207.41254813106491</v>
      </c>
      <c r="BH8" s="7">
        <f>'INGRESOS AFILIACIONES'!BI61*$D$8</f>
        <v>207.41254813106491</v>
      </c>
      <c r="BI8" s="7">
        <f>'INGRESOS AFILIACIONES'!BJ61*$D$8</f>
        <v>264.13116789861209</v>
      </c>
      <c r="BJ8" s="7">
        <f>'INGRESOS AFILIACIONES'!BK61*$D$8</f>
        <v>314.68761468735022</v>
      </c>
      <c r="BK8" s="7">
        <f>'INGRESOS AFILIACIONES'!BL61*$D$8</f>
        <v>327.99316149888728</v>
      </c>
      <c r="BL8" s="7">
        <f>'INGRESOS AFILIACIONES'!BM61*$D$8</f>
        <v>345.35954845859806</v>
      </c>
      <c r="BM8" s="7">
        <f>'INGRESOS AFILIACIONES'!BN61*$D$8</f>
        <v>314.68761468735022</v>
      </c>
      <c r="BN8" s="7">
        <f>'INGRESOS AFILIACIONES'!BO61*$D$8</f>
        <v>274.62046560405651</v>
      </c>
      <c r="BO8" s="7">
        <f>'INGRESOS AFILIACIONES'!BP61*$D$8</f>
        <v>260.86049835023698</v>
      </c>
      <c r="BP8" s="7">
        <f>'INGRESOS AFILIACIONES'!BQ61*$D$8</f>
        <v>414.10682248403782</v>
      </c>
      <c r="BQ8" s="7">
        <f>'INGRESOS AFILIACIONES'!BR61*$D$8</f>
        <v>373.00336321569137</v>
      </c>
      <c r="BR8" s="7">
        <f>'INGRESOS AFILIACIONES'!BS61*$D$8</f>
        <v>298.190421780593</v>
      </c>
      <c r="BS8" s="7">
        <f>'INGRESOS AFILIACIONES'!BT61*$D$8</f>
        <v>221.93142650023944</v>
      </c>
      <c r="BT8" s="7">
        <f>'INGRESOS AFILIACIONES'!BU61*$D$8</f>
        <v>221.93142650023944</v>
      </c>
      <c r="BU8" s="7">
        <f>'INGRESOS AFILIACIONES'!BV61*$D$8</f>
        <v>282.62034965151497</v>
      </c>
      <c r="BV8" s="7">
        <f>'INGRESOS AFILIACIONES'!BW61*$D$8</f>
        <v>336.71574771546483</v>
      </c>
      <c r="BW8" s="7">
        <f>'INGRESOS AFILIACIONES'!BX61*$D$8</f>
        <v>350.95268280380947</v>
      </c>
      <c r="BX8" s="7">
        <f>'INGRESOS AFILIACIONES'!BY61*$D$8</f>
        <v>369.53471685070002</v>
      </c>
      <c r="BY8" s="7">
        <f>'INGRESOS AFILIACIONES'!BZ61*$D$8</f>
        <v>336.71574771546483</v>
      </c>
      <c r="BZ8" s="7">
        <f>'INGRESOS AFILIACIONES'!CA61*$D$8</f>
        <v>293.84389819634055</v>
      </c>
      <c r="CA8" s="7">
        <f>'INGRESOS AFILIACIONES'!CB61*$D$8</f>
        <v>279.12073323475352</v>
      </c>
      <c r="CB8" s="7">
        <f>'INGRESOS AFILIACIONES'!CC61*$D$8</f>
        <v>443.09430005792058</v>
      </c>
      <c r="CC8" s="7">
        <f>'INGRESOS AFILIACIONES'!CD61*$D$8</f>
        <v>399.11359864078986</v>
      </c>
      <c r="CD8" s="7">
        <f>'INGRESOS AFILIACIONES'!CE61*$D$8</f>
        <v>319.06375130523452</v>
      </c>
      <c r="CE8" s="7">
        <f>'INGRESOS AFILIACIONES'!CF61*$D$8</f>
        <v>237.46662635525621</v>
      </c>
      <c r="CF8" s="7">
        <f>'INGRESOS AFILIACIONES'!CG61*$D$8</f>
        <v>237.46662635525621</v>
      </c>
      <c r="CG8" s="7">
        <f>'INGRESOS AFILIACIONES'!CH61*$D$8</f>
        <v>302.40377412712104</v>
      </c>
      <c r="CH8" s="7">
        <f>'INGRESOS AFILIACIONES'!CI61*$D$8</f>
        <v>360.28585005554743</v>
      </c>
      <c r="CI8" s="7">
        <f>'INGRESOS AFILIACIONES'!CJ61*$D$8</f>
        <v>375.51937060007617</v>
      </c>
      <c r="CJ8" s="7">
        <f>'INGRESOS AFILIACIONES'!CK61*$D$8</f>
        <v>395.40214703024895</v>
      </c>
      <c r="CK8" s="7">
        <f>'INGRESOS AFILIACIONES'!CL61*$D$8</f>
        <v>360.28585005554743</v>
      </c>
      <c r="CL8" s="7">
        <f>'INGRESOS AFILIACIONES'!CM61*$D$8</f>
        <v>314.41297107008438</v>
      </c>
      <c r="CM8" s="7">
        <f>'INGRESOS AFILIACIONES'!CN61*$D$8</f>
        <v>298.65918456118635</v>
      </c>
      <c r="CN8" s="7">
        <f>'INGRESOS AFILIACIONES'!CO61*$D$8</f>
        <v>474.11090106197508</v>
      </c>
      <c r="CO8" s="7">
        <f>'INGRESOS AFILIACIONES'!CP61*$D$8</f>
        <v>427.05155054564523</v>
      </c>
      <c r="CP8" s="7">
        <f>'INGRESOS AFILIACIONES'!CQ61*$D$8</f>
        <v>341.39821389660102</v>
      </c>
      <c r="CQ8" s="7">
        <f>'INGRESOS AFILIACIONES'!CR61*$D$8</f>
        <v>254.0892902001242</v>
      </c>
      <c r="CR8" s="7">
        <f>'INGRESOS AFILIACIONES'!CS61*$D$8</f>
        <v>254.0892902001242</v>
      </c>
      <c r="CS8" s="7">
        <f>'INGRESOS AFILIACIONES'!CT61*$D$8</f>
        <v>323.57203831601953</v>
      </c>
      <c r="CT8" s="7">
        <f>'INGRESOS AFILIACIONES'!CU61*$D$8</f>
        <v>385.50585955943569</v>
      </c>
      <c r="CU8" s="7">
        <f>'INGRESOS AFILIACIONES'!CV61*$D$8</f>
        <v>401.80572654208146</v>
      </c>
      <c r="CV8" s="7">
        <f>'INGRESOS AFILIACIONES'!CW61*$D$8</f>
        <v>423.08029732236645</v>
      </c>
      <c r="CW8" s="7">
        <f>'INGRESOS AFILIACIONES'!CX61*$D$8</f>
        <v>385.50585955943569</v>
      </c>
      <c r="CX8" s="7">
        <f>'INGRESOS AFILIACIONES'!CY61*$D$8</f>
        <v>336.42187904499042</v>
      </c>
      <c r="CY8" s="7">
        <f>'INGRESOS AFILIACIONES'!CZ61*$D$8</f>
        <v>319.56532748046942</v>
      </c>
      <c r="CZ8" s="7">
        <f>'INGRESOS AFILIACIONES'!DA61*$D$8</f>
        <v>507.29866413631345</v>
      </c>
      <c r="DA8" s="7">
        <f>'INGRESOS AFILIACIONES'!DB61*$D$8</f>
        <v>456.94515908384028</v>
      </c>
      <c r="DB8" s="7">
        <f>'INGRESOS AFILIACIONES'!DC61*$D$8</f>
        <v>365.29608886936302</v>
      </c>
      <c r="DC8" s="7">
        <f>'INGRESOS AFILIACIONES'!DD61*$D$8</f>
        <v>271.87554051413287</v>
      </c>
      <c r="DD8" s="7">
        <f>'INGRESOS AFILIACIONES'!DE61*$D$8</f>
        <v>271.87554051413287</v>
      </c>
      <c r="DE8" s="7">
        <f>'INGRESOS AFILIACIONES'!DF61*$D$8</f>
        <v>346.22208099814094</v>
      </c>
      <c r="DF8" s="7">
        <f>'INGRESOS AFILIACIONES'!DG61*$D$8</f>
        <v>412.49126972859619</v>
      </c>
      <c r="DG8" s="7">
        <f>'INGRESOS AFILIACIONES'!DH61*$D$8</f>
        <v>429.93212740002713</v>
      </c>
      <c r="DH8" s="7">
        <f>'INGRESOS AFILIACIONES'!DI61*$D$8</f>
        <v>452.69591813493213</v>
      </c>
      <c r="DI8" s="7">
        <f>'INGRESOS AFILIACIONES'!DJ61*$D$8</f>
        <v>412.49126972859619</v>
      </c>
      <c r="DJ8" s="7">
        <f>'INGRESOS AFILIACIONES'!DK61*$D$8</f>
        <v>359.97141057813968</v>
      </c>
      <c r="DK8" s="7">
        <f>'INGRESOS AFILIACIONES'!DL61*$D$8</f>
        <v>341.93490040410228</v>
      </c>
      <c r="DL8" s="7">
        <f>'INGRESOS AFILIACIONES'!DM61*$D$8</f>
        <v>542.80957062585537</v>
      </c>
      <c r="DM8" s="7">
        <f>'INGRESOS AFILIACIONES'!DN61*$D$8</f>
        <v>488.93132021970911</v>
      </c>
      <c r="DN8" s="7">
        <f>'INGRESOS AFILIACIONES'!DO61*$D$8</f>
        <v>390.86681509021844</v>
      </c>
      <c r="DO8" s="7">
        <f>'INGRESOS AFILIACIONES'!DP61*$D$8</f>
        <v>290.90682835012217</v>
      </c>
      <c r="DP8" s="7">
        <f>'INGRESOS AFILIACIONES'!DQ61*$D$8</f>
        <v>290.90682835012217</v>
      </c>
      <c r="DQ8" s="7">
        <f>'INGRESOS AFILIACIONES'!DR61*$D$8</f>
        <v>370.45762666801079</v>
      </c>
      <c r="DR8" s="7">
        <f>'INGRESOS AFILIACIONES'!DS61*$D$8</f>
        <v>441.36565860959797</v>
      </c>
      <c r="DS8" s="7">
        <f>'INGRESOS AFILIACIONES'!DT61*$D$8</f>
        <v>460.02737631802904</v>
      </c>
      <c r="DT8" s="7">
        <f>'INGRESOS AFILIACIONES'!DU61*$D$8</f>
        <v>484.38463240437744</v>
      </c>
    </row>
    <row r="9" spans="2:136" x14ac:dyDescent="0.25">
      <c r="B9" s="819" t="s">
        <v>133</v>
      </c>
      <c r="C9" s="819"/>
      <c r="D9" s="819"/>
      <c r="E9" s="7">
        <f>SUM(E6:E8)</f>
        <v>1340.4729628474543</v>
      </c>
      <c r="F9" s="7">
        <f t="shared" ref="F9:BQ9" si="0">SUM(F6:F8)</f>
        <v>1629.0283933182982</v>
      </c>
      <c r="G9" s="7">
        <f t="shared" si="0"/>
        <v>1886.6312791272967</v>
      </c>
      <c r="H9" s="7">
        <f t="shared" si="0"/>
        <v>1492.7618844337483</v>
      </c>
      <c r="I9" s="7">
        <f t="shared" si="0"/>
        <v>1530.8034144362775</v>
      </c>
      <c r="J9" s="7">
        <f t="shared" si="0"/>
        <v>1954.2840168902867</v>
      </c>
      <c r="K9" s="7">
        <f t="shared" si="0"/>
        <v>2066.3838433474439</v>
      </c>
      <c r="L9" s="7">
        <f t="shared" si="0"/>
        <v>2192.4216663497537</v>
      </c>
      <c r="M9" s="7">
        <f t="shared" si="0"/>
        <v>2253.3375575270088</v>
      </c>
      <c r="N9" s="7">
        <f t="shared" si="0"/>
        <v>2142.4315733537892</v>
      </c>
      <c r="O9" s="7">
        <f t="shared" si="0"/>
        <v>2073.2917260302079</v>
      </c>
      <c r="P9" s="7">
        <f t="shared" si="0"/>
        <v>1870.2791700405317</v>
      </c>
      <c r="Q9" s="7">
        <f t="shared" si="0"/>
        <v>2645.8878845544441</v>
      </c>
      <c r="R9" s="7">
        <f t="shared" si="0"/>
        <v>2396.7260642181413</v>
      </c>
      <c r="S9" s="7">
        <f t="shared" si="0"/>
        <v>1936.8705758157923</v>
      </c>
      <c r="T9" s="7">
        <f t="shared" si="0"/>
        <v>1600.1860682334323</v>
      </c>
      <c r="U9" s="7">
        <f t="shared" si="0"/>
        <v>1568.8284359590202</v>
      </c>
      <c r="V9" s="7">
        <f t="shared" si="0"/>
        <v>1862.9467958850119</v>
      </c>
      <c r="W9" s="7">
        <f t="shared" si="0"/>
        <v>2117.8067599840037</v>
      </c>
      <c r="X9" s="7">
        <f t="shared" si="0"/>
        <v>2200.1926182703742</v>
      </c>
      <c r="Y9" s="7">
        <f t="shared" si="0"/>
        <v>2354.0218505260968</v>
      </c>
      <c r="Z9" s="7">
        <f t="shared" si="0"/>
        <v>2205.3751690572244</v>
      </c>
      <c r="AA9" s="7">
        <f t="shared" si="0"/>
        <v>1968.1469578726185</v>
      </c>
      <c r="AB9" s="7">
        <f t="shared" si="0"/>
        <v>1897.1235443083003</v>
      </c>
      <c r="AC9" s="7">
        <f t="shared" si="0"/>
        <v>2820.9633053808739</v>
      </c>
      <c r="AD9" s="7">
        <f t="shared" si="0"/>
        <v>2533.7504057791739</v>
      </c>
      <c r="AE9" s="7">
        <f t="shared" si="0"/>
        <v>2059.288178116678</v>
      </c>
      <c r="AF9" s="7">
        <f t="shared" si="0"/>
        <v>1712.1990930097725</v>
      </c>
      <c r="AG9" s="7">
        <f t="shared" si="0"/>
        <v>1678.6464264761516</v>
      </c>
      <c r="AH9" s="7">
        <f t="shared" si="0"/>
        <v>1993.3530715969628</v>
      </c>
      <c r="AI9" s="7">
        <f t="shared" si="0"/>
        <v>2266.0532331828845</v>
      </c>
      <c r="AJ9" s="7">
        <f t="shared" si="0"/>
        <v>2354.2061015493005</v>
      </c>
      <c r="AK9" s="7">
        <f t="shared" si="0"/>
        <v>2518.8033800629237</v>
      </c>
      <c r="AL9" s="7">
        <f t="shared" si="0"/>
        <v>2359.7514308912305</v>
      </c>
      <c r="AM9" s="7">
        <f t="shared" si="0"/>
        <v>2105.9172449237021</v>
      </c>
      <c r="AN9" s="7">
        <f t="shared" si="0"/>
        <v>2029.9221924098813</v>
      </c>
      <c r="AO9" s="7">
        <f t="shared" si="0"/>
        <v>3018.4307367575352</v>
      </c>
      <c r="AP9" s="7">
        <f t="shared" si="0"/>
        <v>2711.1129341837163</v>
      </c>
      <c r="AQ9" s="7">
        <f t="shared" si="0"/>
        <v>2203.4383505848455</v>
      </c>
      <c r="AR9" s="7">
        <f t="shared" si="0"/>
        <v>1832.0530295204569</v>
      </c>
      <c r="AS9" s="7">
        <f t="shared" si="0"/>
        <v>1796.1516763294826</v>
      </c>
      <c r="AT9" s="7">
        <f t="shared" si="0"/>
        <v>2132.8877866087505</v>
      </c>
      <c r="AU9" s="7">
        <f t="shared" si="0"/>
        <v>2424.6769595056867</v>
      </c>
      <c r="AV9" s="7">
        <f t="shared" si="0"/>
        <v>2519.0005286577516</v>
      </c>
      <c r="AW9" s="7">
        <f t="shared" si="0"/>
        <v>2695.1196166673285</v>
      </c>
      <c r="AX9" s="7">
        <f t="shared" si="0"/>
        <v>2524.9340310536172</v>
      </c>
      <c r="AY9" s="7">
        <f t="shared" si="0"/>
        <v>2253.3314520683612</v>
      </c>
      <c r="AZ9" s="7">
        <f t="shared" si="0"/>
        <v>2172.0167458785736</v>
      </c>
      <c r="BA9" s="7">
        <f t="shared" si="0"/>
        <v>3229.720888330563</v>
      </c>
      <c r="BB9" s="7">
        <f t="shared" si="0"/>
        <v>2900.890839576577</v>
      </c>
      <c r="BC9" s="7">
        <f t="shared" si="0"/>
        <v>2357.679035125785</v>
      </c>
      <c r="BD9" s="7">
        <f t="shared" si="0"/>
        <v>1960.2967415868889</v>
      </c>
      <c r="BE9" s="7">
        <f t="shared" si="0"/>
        <v>1921.8822936725464</v>
      </c>
      <c r="BF9" s="7">
        <f t="shared" si="0"/>
        <v>2282.1899316713634</v>
      </c>
      <c r="BG9" s="7">
        <f t="shared" si="0"/>
        <v>2594.4043466710846</v>
      </c>
      <c r="BH9" s="7">
        <f t="shared" si="0"/>
        <v>2695.3305656637949</v>
      </c>
      <c r="BI9" s="7">
        <f t="shared" si="0"/>
        <v>2883.7779898340418</v>
      </c>
      <c r="BJ9" s="7">
        <f t="shared" si="0"/>
        <v>2701.6794132273699</v>
      </c>
      <c r="BK9" s="7">
        <f t="shared" si="0"/>
        <v>2411.064653713147</v>
      </c>
      <c r="BL9" s="7">
        <f t="shared" si="0"/>
        <v>2324.0579180900736</v>
      </c>
      <c r="BM9" s="7">
        <f t="shared" si="0"/>
        <v>3455.8013505137014</v>
      </c>
      <c r="BN9" s="7">
        <f t="shared" si="0"/>
        <v>3103.9531983469374</v>
      </c>
      <c r="BO9" s="7">
        <f t="shared" si="0"/>
        <v>2522.7165675845899</v>
      </c>
      <c r="BP9" s="7">
        <f t="shared" si="0"/>
        <v>2097.5175134979713</v>
      </c>
      <c r="BQ9" s="7">
        <f t="shared" si="0"/>
        <v>2056.414054229625</v>
      </c>
      <c r="BR9" s="7">
        <f t="shared" ref="BR9:DT9" si="1">SUM(BR6:BR8)</f>
        <v>2441.9432268883588</v>
      </c>
      <c r="BS9" s="7">
        <f t="shared" si="1"/>
        <v>2776.0126509380611</v>
      </c>
      <c r="BT9" s="7">
        <f t="shared" si="1"/>
        <v>2884.0037052602611</v>
      </c>
      <c r="BU9" s="7">
        <f t="shared" si="1"/>
        <v>3085.6424491224248</v>
      </c>
      <c r="BV9" s="7">
        <f t="shared" si="1"/>
        <v>2890.7969721532863</v>
      </c>
      <c r="BW9" s="7">
        <f t="shared" si="1"/>
        <v>2579.8391794730678</v>
      </c>
      <c r="BX9" s="7">
        <f t="shared" si="1"/>
        <v>2486.7419723563794</v>
      </c>
      <c r="BY9" s="7">
        <f t="shared" si="1"/>
        <v>3697.7074450496616</v>
      </c>
      <c r="BZ9" s="7">
        <f t="shared" si="1"/>
        <v>3321.2299222312236</v>
      </c>
      <c r="CA9" s="7">
        <f t="shared" si="1"/>
        <v>2699.3067273155116</v>
      </c>
      <c r="CB9" s="7">
        <f t="shared" si="1"/>
        <v>2244.3437394428292</v>
      </c>
      <c r="CC9" s="7">
        <f t="shared" si="1"/>
        <v>2200.3630380256986</v>
      </c>
      <c r="CD9" s="7">
        <f t="shared" si="1"/>
        <v>2612.8792527705446</v>
      </c>
      <c r="CE9" s="7">
        <f t="shared" si="1"/>
        <v>2970.3335365037256</v>
      </c>
      <c r="CF9" s="7">
        <f t="shared" si="1"/>
        <v>3085.8839646284796</v>
      </c>
      <c r="CG9" s="7">
        <f t="shared" si="1"/>
        <v>3301.637420560995</v>
      </c>
      <c r="CH9" s="7">
        <f t="shared" si="1"/>
        <v>3093.1527602040169</v>
      </c>
      <c r="CI9" s="7">
        <f t="shared" si="1"/>
        <v>2760.4279220361823</v>
      </c>
      <c r="CJ9" s="7">
        <f t="shared" si="1"/>
        <v>2660.813910421326</v>
      </c>
      <c r="CK9" s="7">
        <f t="shared" si="1"/>
        <v>3956.5469662031383</v>
      </c>
      <c r="CL9" s="7">
        <f t="shared" si="1"/>
        <v>3553.7160167874099</v>
      </c>
      <c r="CM9" s="7">
        <f t="shared" si="1"/>
        <v>2888.2581982275979</v>
      </c>
      <c r="CN9" s="7">
        <f t="shared" si="1"/>
        <v>2401.447801203828</v>
      </c>
      <c r="CO9" s="7">
        <f t="shared" si="1"/>
        <v>2354.3884506874979</v>
      </c>
      <c r="CP9" s="7">
        <f t="shared" si="1"/>
        <v>2795.7808004644826</v>
      </c>
      <c r="CQ9" s="7">
        <f t="shared" si="1"/>
        <v>3178.2568840589861</v>
      </c>
      <c r="CR9" s="7">
        <f t="shared" si="1"/>
        <v>3301.8958421524731</v>
      </c>
      <c r="CS9" s="7">
        <f t="shared" si="1"/>
        <v>3532.752040000265</v>
      </c>
      <c r="CT9" s="7">
        <f t="shared" si="1"/>
        <v>3309.6734534182974</v>
      </c>
      <c r="CU9" s="7">
        <f t="shared" si="1"/>
        <v>2953.6578765787153</v>
      </c>
      <c r="CV9" s="7">
        <f t="shared" si="1"/>
        <v>2847.0708841508185</v>
      </c>
      <c r="CW9" s="7">
        <f t="shared" si="1"/>
        <v>4233.5052538373584</v>
      </c>
      <c r="CX9" s="7">
        <f t="shared" si="1"/>
        <v>3802.4761379625279</v>
      </c>
      <c r="CY9" s="7">
        <f t="shared" si="1"/>
        <v>3090.4362721035291</v>
      </c>
      <c r="CZ9" s="7">
        <f t="shared" si="1"/>
        <v>2569.5491472880958</v>
      </c>
      <c r="DA9" s="7">
        <f t="shared" si="1"/>
        <v>2519.1956422356225</v>
      </c>
      <c r="DB9" s="7">
        <f t="shared" si="1"/>
        <v>2991.485456496996</v>
      </c>
      <c r="DC9" s="7">
        <f t="shared" si="1"/>
        <v>3400.7348659431154</v>
      </c>
      <c r="DD9" s="7">
        <f t="shared" si="1"/>
        <v>3533.0285511031461</v>
      </c>
      <c r="DE9" s="7">
        <f t="shared" si="1"/>
        <v>3780.0446828002832</v>
      </c>
      <c r="DF9" s="7">
        <f t="shared" si="1"/>
        <v>3541.3505951575789</v>
      </c>
      <c r="DG9" s="7">
        <f t="shared" si="1"/>
        <v>3160.4139279392252</v>
      </c>
      <c r="DH9" s="7">
        <f t="shared" si="1"/>
        <v>3046.3658460413767</v>
      </c>
      <c r="DI9" s="7">
        <f t="shared" si="1"/>
        <v>4529.8506216059732</v>
      </c>
      <c r="DJ9" s="7">
        <f t="shared" si="1"/>
        <v>4068.6494676199045</v>
      </c>
      <c r="DK9" s="7">
        <f t="shared" si="1"/>
        <v>3306.7668111507764</v>
      </c>
      <c r="DL9" s="7">
        <f t="shared" si="1"/>
        <v>2749.4175875982623</v>
      </c>
      <c r="DM9" s="7">
        <f t="shared" si="1"/>
        <v>2695.5393371921159</v>
      </c>
      <c r="DN9" s="7">
        <f t="shared" si="1"/>
        <v>3200.8894384517862</v>
      </c>
      <c r="DO9" s="7">
        <f t="shared" si="1"/>
        <v>3638.7863065591337</v>
      </c>
      <c r="DP9" s="7">
        <f t="shared" si="1"/>
        <v>3780.3405496803662</v>
      </c>
      <c r="DQ9" s="7">
        <f t="shared" si="1"/>
        <v>4044.6478105963033</v>
      </c>
      <c r="DR9" s="7">
        <f t="shared" si="1"/>
        <v>3789.2451368186098</v>
      </c>
      <c r="DS9" s="7">
        <f t="shared" si="1"/>
        <v>3381.642902894971</v>
      </c>
      <c r="DT9" s="7">
        <f t="shared" si="1"/>
        <v>3259.611455264273</v>
      </c>
    </row>
    <row r="10" spans="2:136" x14ac:dyDescent="0.25">
      <c r="B10" s="8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</row>
    <row r="11" spans="2:136" x14ac:dyDescent="0.25">
      <c r="B11" s="776" t="s">
        <v>130</v>
      </c>
      <c r="C11" s="777"/>
      <c r="D11" s="778"/>
      <c r="E11" s="300" t="s">
        <v>38</v>
      </c>
      <c r="F11" s="300" t="s">
        <v>40</v>
      </c>
      <c r="G11" s="300" t="s">
        <v>41</v>
      </c>
      <c r="H11" s="300" t="s">
        <v>42</v>
      </c>
      <c r="I11" s="300" t="s">
        <v>43</v>
      </c>
      <c r="J11" s="300" t="s">
        <v>44</v>
      </c>
      <c r="K11" s="300" t="s">
        <v>45</v>
      </c>
      <c r="L11" s="300" t="s">
        <v>46</v>
      </c>
      <c r="M11" s="300" t="s">
        <v>47</v>
      </c>
      <c r="N11" s="300" t="s">
        <v>48</v>
      </c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</row>
    <row r="12" spans="2:136" x14ac:dyDescent="0.25">
      <c r="B12" s="813" t="s">
        <v>111</v>
      </c>
      <c r="C12" s="814"/>
      <c r="D12" s="815"/>
      <c r="E12" s="7">
        <f>SUM(E6:P6)</f>
        <v>13471.455703588616</v>
      </c>
      <c r="F12" s="7">
        <f>SUM(Q6:AB6)</f>
        <v>14413.636095248901</v>
      </c>
      <c r="G12" s="7">
        <f>SUM(AC6:AN6)</f>
        <v>15422.590621916328</v>
      </c>
      <c r="H12" s="7">
        <f>SUM(AO6:AZ6)</f>
        <v>16502.17196545047</v>
      </c>
      <c r="I12" s="7">
        <f>SUM(BA6:BL6)</f>
        <v>17657.324003032005</v>
      </c>
      <c r="J12" s="7">
        <f>SUM(BM6:BX6)</f>
        <v>18893.336683244248</v>
      </c>
      <c r="K12" s="7">
        <f>SUM(BY6:CJ6)</f>
        <v>20215.870251071348</v>
      </c>
      <c r="L12" s="7">
        <f>SUM(CK6:CV6)</f>
        <v>21630.98116864634</v>
      </c>
      <c r="M12" s="7">
        <f>SUM(CW6:DH6)</f>
        <v>23145.149850451584</v>
      </c>
      <c r="N12" s="7">
        <f>SUM(DI6:DT6)</f>
        <v>24765.310339983193</v>
      </c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</row>
    <row r="13" spans="2:136" x14ac:dyDescent="0.25">
      <c r="B13" s="813" t="s">
        <v>112</v>
      </c>
      <c r="C13" s="814"/>
      <c r="D13" s="815"/>
      <c r="E13" s="7">
        <f>SUM(E7:P7)</f>
        <v>6965.4809777670907</v>
      </c>
      <c r="F13" s="7">
        <f>SUM(Q7:AB7)</f>
        <v>7452.6398817589325</v>
      </c>
      <c r="G13" s="7">
        <f>SUM(AC7:AN7)</f>
        <v>7974.3246734820577</v>
      </c>
      <c r="H13" s="7">
        <f>SUM(AO7:AZ7)</f>
        <v>8532.5274006258023</v>
      </c>
      <c r="I13" s="7">
        <f>SUM(BA7:BL7)</f>
        <v>9129.8043186696104</v>
      </c>
      <c r="J13" s="7">
        <f>SUM(BM7:BX7)</f>
        <v>9768.8906209764846</v>
      </c>
      <c r="K13" s="7">
        <f>SUM(BY7:CJ7)</f>
        <v>10452.712964444838</v>
      </c>
      <c r="L13" s="7">
        <f>SUM(CK7:CV7)</f>
        <v>11184.402871955976</v>
      </c>
      <c r="M13" s="7">
        <f>SUM(CW7:DH7)</f>
        <v>11967.311072992896</v>
      </c>
      <c r="N13" s="7">
        <f>SUM(DI7:DT7)</f>
        <v>12805.022848102399</v>
      </c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</row>
    <row r="14" spans="2:136" x14ac:dyDescent="0.25">
      <c r="B14" s="813" t="s">
        <v>132</v>
      </c>
      <c r="C14" s="814"/>
      <c r="D14" s="815"/>
      <c r="E14" s="7">
        <f>SUM(E8:P8)</f>
        <v>1995.1908063463898</v>
      </c>
      <c r="F14" s="7">
        <f>SUM(Q8:AB8)</f>
        <v>2887.8367476766261</v>
      </c>
      <c r="G14" s="7">
        <f>SUM(AC8:AN8)</f>
        <v>3035.9387679811516</v>
      </c>
      <c r="H14" s="7">
        <f>SUM(AO8:AZ8)</f>
        <v>3248.4544817398319</v>
      </c>
      <c r="I14" s="7">
        <f>SUM(BA8:BL8)</f>
        <v>3475.8462954616202</v>
      </c>
      <c r="J14" s="7">
        <f>SUM(BM8:BX8)</f>
        <v>3719.1555361439337</v>
      </c>
      <c r="K14" s="7">
        <f>SUM(BY8:CJ8)</f>
        <v>3979.4964236740102</v>
      </c>
      <c r="L14" s="7">
        <f>SUM(CK8:CV8)</f>
        <v>4258.0611733311916</v>
      </c>
      <c r="M14" s="7">
        <f>SUM(CW8:DH8)</f>
        <v>4556.1254554643738</v>
      </c>
      <c r="N14" s="7">
        <f>SUM(DI8:DT8)</f>
        <v>4875.0542373468797</v>
      </c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</row>
    <row r="15" spans="2:136" x14ac:dyDescent="0.25">
      <c r="B15" s="816" t="s">
        <v>490</v>
      </c>
      <c r="C15" s="817"/>
      <c r="D15" s="818"/>
      <c r="E15" s="11">
        <f>SUM(E9:P9)</f>
        <v>22432.127487702099</v>
      </c>
      <c r="F15" s="11">
        <f>SUM(Q9:AB9)</f>
        <v>24754.112724684455</v>
      </c>
      <c r="G15" s="11">
        <f>SUM(AC9:AN9)</f>
        <v>26432.854063379535</v>
      </c>
      <c r="H15" s="11">
        <f>SUM(AO9:AZ9)</f>
        <v>28283.153847816102</v>
      </c>
      <c r="I15" s="11">
        <f>SUM(BA9:BL9)</f>
        <v>30262.974617163236</v>
      </c>
      <c r="J15" s="11">
        <f>SUM(BM9:BX9)</f>
        <v>32381.382840364662</v>
      </c>
      <c r="K15" s="11">
        <f>SUM(BY9:CJ9)</f>
        <v>34648.079639190197</v>
      </c>
      <c r="L15" s="11">
        <f>SUM(CK9:CV9)</f>
        <v>37073.445213933504</v>
      </c>
      <c r="M15" s="11">
        <f>SUM(CW9:DH9)</f>
        <v>39668.586378908862</v>
      </c>
      <c r="N15" s="11">
        <f>SUM(DI9:DT9)</f>
        <v>42445.387425432476</v>
      </c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</row>
    <row r="16" spans="2:136" x14ac:dyDescent="0.25">
      <c r="B16" s="8"/>
      <c r="C16" s="9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</row>
    <row r="17" spans="2:136" x14ac:dyDescent="0.25">
      <c r="B17" s="8"/>
      <c r="C17" s="9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</row>
    <row r="19" spans="2:136" x14ac:dyDescent="0.25">
      <c r="B19" s="367" t="s">
        <v>134</v>
      </c>
      <c r="C19" s="519"/>
      <c r="D19" s="520"/>
    </row>
    <row r="21" spans="2:136" x14ac:dyDescent="0.25">
      <c r="B21" s="480"/>
      <c r="E21" s="780" t="s">
        <v>2</v>
      </c>
      <c r="F21" s="780"/>
      <c r="G21" s="780"/>
      <c r="H21" s="780"/>
      <c r="I21" s="780"/>
      <c r="J21" s="780"/>
      <c r="K21" s="780"/>
      <c r="L21" s="780"/>
      <c r="M21" s="780"/>
      <c r="N21" s="780"/>
      <c r="O21" s="780"/>
      <c r="P21" s="780"/>
      <c r="Q21" s="780" t="s">
        <v>14</v>
      </c>
      <c r="R21" s="780"/>
      <c r="S21" s="780"/>
      <c r="T21" s="780"/>
      <c r="U21" s="780"/>
      <c r="V21" s="780"/>
      <c r="W21" s="780"/>
      <c r="X21" s="780"/>
      <c r="Y21" s="780"/>
      <c r="Z21" s="780"/>
      <c r="AA21" s="780"/>
      <c r="AB21" s="780"/>
      <c r="AC21" s="780" t="s">
        <v>15</v>
      </c>
      <c r="AD21" s="780"/>
      <c r="AE21" s="780"/>
      <c r="AF21" s="780"/>
      <c r="AG21" s="780"/>
      <c r="AH21" s="780"/>
      <c r="AI21" s="780"/>
      <c r="AJ21" s="780"/>
      <c r="AK21" s="780"/>
      <c r="AL21" s="780"/>
      <c r="AM21" s="780"/>
      <c r="AN21" s="780"/>
      <c r="AO21" s="780" t="s">
        <v>16</v>
      </c>
      <c r="AP21" s="780"/>
      <c r="AQ21" s="780"/>
      <c r="AR21" s="780"/>
      <c r="AS21" s="780"/>
      <c r="AT21" s="780"/>
      <c r="AU21" s="780"/>
      <c r="AV21" s="780"/>
      <c r="AW21" s="780"/>
      <c r="AX21" s="780"/>
      <c r="AY21" s="780"/>
      <c r="AZ21" s="780"/>
      <c r="BA21" s="780" t="s">
        <v>17</v>
      </c>
      <c r="BB21" s="780"/>
      <c r="BC21" s="780"/>
      <c r="BD21" s="780"/>
      <c r="BE21" s="780"/>
      <c r="BF21" s="780"/>
      <c r="BG21" s="780"/>
      <c r="BH21" s="780"/>
      <c r="BI21" s="780"/>
      <c r="BJ21" s="780"/>
      <c r="BK21" s="780"/>
      <c r="BL21" s="780"/>
      <c r="BM21" s="780" t="s">
        <v>135</v>
      </c>
      <c r="BN21" s="780"/>
      <c r="BO21" s="780"/>
      <c r="BP21" s="780"/>
      <c r="BQ21" s="780"/>
      <c r="BR21" s="780"/>
      <c r="BS21" s="780"/>
      <c r="BT21" s="780"/>
      <c r="BU21" s="780"/>
      <c r="BV21" s="780"/>
      <c r="BW21" s="780"/>
      <c r="BX21" s="780"/>
      <c r="BY21" s="780" t="s">
        <v>136</v>
      </c>
      <c r="BZ21" s="780"/>
      <c r="CA21" s="780"/>
      <c r="CB21" s="780"/>
      <c r="CC21" s="780"/>
      <c r="CD21" s="780"/>
      <c r="CE21" s="780"/>
      <c r="CF21" s="780"/>
      <c r="CG21" s="780"/>
      <c r="CH21" s="780"/>
      <c r="CI21" s="780"/>
      <c r="CJ21" s="780"/>
      <c r="CK21" s="780" t="s">
        <v>137</v>
      </c>
      <c r="CL21" s="780"/>
      <c r="CM21" s="780"/>
      <c r="CN21" s="780"/>
      <c r="CO21" s="780"/>
      <c r="CP21" s="780"/>
      <c r="CQ21" s="780"/>
      <c r="CR21" s="780"/>
      <c r="CS21" s="780"/>
      <c r="CT21" s="780"/>
      <c r="CU21" s="780"/>
      <c r="CV21" s="780"/>
      <c r="CW21" s="780" t="s">
        <v>138</v>
      </c>
      <c r="CX21" s="780"/>
      <c r="CY21" s="780"/>
      <c r="CZ21" s="780"/>
      <c r="DA21" s="780"/>
      <c r="DB21" s="780"/>
      <c r="DC21" s="780"/>
      <c r="DD21" s="780"/>
      <c r="DE21" s="780"/>
      <c r="DF21" s="780"/>
      <c r="DG21" s="780"/>
      <c r="DH21" s="780"/>
      <c r="DI21" s="780" t="s">
        <v>139</v>
      </c>
      <c r="DJ21" s="780"/>
      <c r="DK21" s="780"/>
      <c r="DL21" s="780"/>
      <c r="DM21" s="780"/>
      <c r="DN21" s="780"/>
      <c r="DO21" s="780"/>
      <c r="DP21" s="780"/>
      <c r="DQ21" s="780"/>
      <c r="DR21" s="780"/>
      <c r="DS21" s="780"/>
      <c r="DT21" s="780"/>
    </row>
    <row r="22" spans="2:136" x14ac:dyDescent="0.25">
      <c r="B22" s="300" t="s">
        <v>141</v>
      </c>
      <c r="C22" s="300" t="s">
        <v>142</v>
      </c>
      <c r="D22" s="300" t="s">
        <v>131</v>
      </c>
      <c r="E22" s="300" t="s">
        <v>0</v>
      </c>
      <c r="F22" s="300" t="s">
        <v>1</v>
      </c>
      <c r="G22" s="300" t="s">
        <v>49</v>
      </c>
      <c r="H22" s="300" t="s">
        <v>50</v>
      </c>
      <c r="I22" s="300" t="s">
        <v>51</v>
      </c>
      <c r="J22" s="300" t="s">
        <v>52</v>
      </c>
      <c r="K22" s="300" t="s">
        <v>53</v>
      </c>
      <c r="L22" s="300" t="s">
        <v>54</v>
      </c>
      <c r="M22" s="300" t="s">
        <v>55</v>
      </c>
      <c r="N22" s="300" t="s">
        <v>56</v>
      </c>
      <c r="O22" s="300" t="s">
        <v>57</v>
      </c>
      <c r="P22" s="300" t="s">
        <v>58</v>
      </c>
      <c r="Q22" s="300" t="s">
        <v>0</v>
      </c>
      <c r="R22" s="300" t="s">
        <v>1</v>
      </c>
      <c r="S22" s="300" t="s">
        <v>49</v>
      </c>
      <c r="T22" s="300" t="s">
        <v>50</v>
      </c>
      <c r="U22" s="300" t="s">
        <v>51</v>
      </c>
      <c r="V22" s="300" t="s">
        <v>52</v>
      </c>
      <c r="W22" s="300" t="s">
        <v>53</v>
      </c>
      <c r="X22" s="300" t="s">
        <v>54</v>
      </c>
      <c r="Y22" s="300" t="s">
        <v>55</v>
      </c>
      <c r="Z22" s="300" t="s">
        <v>56</v>
      </c>
      <c r="AA22" s="300" t="s">
        <v>57</v>
      </c>
      <c r="AB22" s="300" t="s">
        <v>58</v>
      </c>
      <c r="AC22" s="300" t="s">
        <v>0</v>
      </c>
      <c r="AD22" s="300" t="s">
        <v>1</v>
      </c>
      <c r="AE22" s="300" t="s">
        <v>49</v>
      </c>
      <c r="AF22" s="300" t="s">
        <v>50</v>
      </c>
      <c r="AG22" s="300" t="s">
        <v>51</v>
      </c>
      <c r="AH22" s="300" t="s">
        <v>52</v>
      </c>
      <c r="AI22" s="300" t="s">
        <v>53</v>
      </c>
      <c r="AJ22" s="300" t="s">
        <v>54</v>
      </c>
      <c r="AK22" s="300" t="s">
        <v>55</v>
      </c>
      <c r="AL22" s="300" t="s">
        <v>56</v>
      </c>
      <c r="AM22" s="300" t="s">
        <v>57</v>
      </c>
      <c r="AN22" s="300" t="s">
        <v>58</v>
      </c>
      <c r="AO22" s="300" t="s">
        <v>0</v>
      </c>
      <c r="AP22" s="300" t="s">
        <v>1</v>
      </c>
      <c r="AQ22" s="300" t="s">
        <v>49</v>
      </c>
      <c r="AR22" s="300" t="s">
        <v>50</v>
      </c>
      <c r="AS22" s="300" t="s">
        <v>51</v>
      </c>
      <c r="AT22" s="300" t="s">
        <v>52</v>
      </c>
      <c r="AU22" s="300" t="s">
        <v>53</v>
      </c>
      <c r="AV22" s="300" t="s">
        <v>54</v>
      </c>
      <c r="AW22" s="300" t="s">
        <v>55</v>
      </c>
      <c r="AX22" s="300" t="s">
        <v>56</v>
      </c>
      <c r="AY22" s="300" t="s">
        <v>57</v>
      </c>
      <c r="AZ22" s="300" t="s">
        <v>58</v>
      </c>
      <c r="BA22" s="300" t="s">
        <v>0</v>
      </c>
      <c r="BB22" s="300" t="s">
        <v>1</v>
      </c>
      <c r="BC22" s="300" t="s">
        <v>49</v>
      </c>
      <c r="BD22" s="300" t="s">
        <v>50</v>
      </c>
      <c r="BE22" s="300" t="s">
        <v>51</v>
      </c>
      <c r="BF22" s="300" t="s">
        <v>52</v>
      </c>
      <c r="BG22" s="300" t="s">
        <v>53</v>
      </c>
      <c r="BH22" s="300" t="s">
        <v>54</v>
      </c>
      <c r="BI22" s="300" t="s">
        <v>55</v>
      </c>
      <c r="BJ22" s="300" t="s">
        <v>56</v>
      </c>
      <c r="BK22" s="300" t="s">
        <v>57</v>
      </c>
      <c r="BL22" s="300" t="s">
        <v>58</v>
      </c>
      <c r="BM22" s="300" t="s">
        <v>0</v>
      </c>
      <c r="BN22" s="300" t="s">
        <v>1</v>
      </c>
      <c r="BO22" s="300" t="s">
        <v>49</v>
      </c>
      <c r="BP22" s="300" t="s">
        <v>50</v>
      </c>
      <c r="BQ22" s="300" t="s">
        <v>51</v>
      </c>
      <c r="BR22" s="300" t="s">
        <v>52</v>
      </c>
      <c r="BS22" s="300" t="s">
        <v>53</v>
      </c>
      <c r="BT22" s="300" t="s">
        <v>54</v>
      </c>
      <c r="BU22" s="300" t="s">
        <v>55</v>
      </c>
      <c r="BV22" s="300" t="s">
        <v>56</v>
      </c>
      <c r="BW22" s="300" t="s">
        <v>57</v>
      </c>
      <c r="BX22" s="300" t="s">
        <v>58</v>
      </c>
      <c r="BY22" s="300" t="s">
        <v>0</v>
      </c>
      <c r="BZ22" s="300" t="s">
        <v>1</v>
      </c>
      <c r="CA22" s="300" t="s">
        <v>49</v>
      </c>
      <c r="CB22" s="300" t="s">
        <v>50</v>
      </c>
      <c r="CC22" s="300" t="s">
        <v>51</v>
      </c>
      <c r="CD22" s="300" t="s">
        <v>52</v>
      </c>
      <c r="CE22" s="300" t="s">
        <v>53</v>
      </c>
      <c r="CF22" s="300" t="s">
        <v>54</v>
      </c>
      <c r="CG22" s="300" t="s">
        <v>55</v>
      </c>
      <c r="CH22" s="300" t="s">
        <v>56</v>
      </c>
      <c r="CI22" s="300" t="s">
        <v>57</v>
      </c>
      <c r="CJ22" s="300" t="s">
        <v>58</v>
      </c>
      <c r="CK22" s="300" t="s">
        <v>0</v>
      </c>
      <c r="CL22" s="300" t="s">
        <v>1</v>
      </c>
      <c r="CM22" s="300" t="s">
        <v>49</v>
      </c>
      <c r="CN22" s="300" t="s">
        <v>50</v>
      </c>
      <c r="CO22" s="300" t="s">
        <v>51</v>
      </c>
      <c r="CP22" s="300" t="s">
        <v>52</v>
      </c>
      <c r="CQ22" s="300" t="s">
        <v>53</v>
      </c>
      <c r="CR22" s="300" t="s">
        <v>54</v>
      </c>
      <c r="CS22" s="300" t="s">
        <v>55</v>
      </c>
      <c r="CT22" s="300" t="s">
        <v>56</v>
      </c>
      <c r="CU22" s="300" t="s">
        <v>57</v>
      </c>
      <c r="CV22" s="300" t="s">
        <v>58</v>
      </c>
      <c r="CW22" s="300" t="s">
        <v>0</v>
      </c>
      <c r="CX22" s="300" t="s">
        <v>1</v>
      </c>
      <c r="CY22" s="300" t="s">
        <v>49</v>
      </c>
      <c r="CZ22" s="300" t="s">
        <v>50</v>
      </c>
      <c r="DA22" s="300" t="s">
        <v>51</v>
      </c>
      <c r="DB22" s="300" t="s">
        <v>52</v>
      </c>
      <c r="DC22" s="300" t="s">
        <v>53</v>
      </c>
      <c r="DD22" s="300" t="s">
        <v>54</v>
      </c>
      <c r="DE22" s="300" t="s">
        <v>55</v>
      </c>
      <c r="DF22" s="300" t="s">
        <v>56</v>
      </c>
      <c r="DG22" s="300" t="s">
        <v>57</v>
      </c>
      <c r="DH22" s="300" t="s">
        <v>58</v>
      </c>
      <c r="DI22" s="300" t="s">
        <v>0</v>
      </c>
      <c r="DJ22" s="300" t="s">
        <v>1</v>
      </c>
      <c r="DK22" s="300" t="s">
        <v>49</v>
      </c>
      <c r="DL22" s="300" t="s">
        <v>50</v>
      </c>
      <c r="DM22" s="300" t="s">
        <v>51</v>
      </c>
      <c r="DN22" s="300" t="s">
        <v>52</v>
      </c>
      <c r="DO22" s="300" t="s">
        <v>53</v>
      </c>
      <c r="DP22" s="300" t="s">
        <v>54</v>
      </c>
      <c r="DQ22" s="300" t="s">
        <v>55</v>
      </c>
      <c r="DR22" s="300" t="s">
        <v>56</v>
      </c>
      <c r="DS22" s="300" t="s">
        <v>57</v>
      </c>
      <c r="DT22" s="300" t="s">
        <v>58</v>
      </c>
    </row>
    <row r="23" spans="2:136" ht="25.5" x14ac:dyDescent="0.25">
      <c r="B23" s="513" t="s">
        <v>143</v>
      </c>
      <c r="C23" s="502">
        <v>0.35</v>
      </c>
      <c r="D23" s="503">
        <v>2.8000000000000001E-2</v>
      </c>
      <c r="E23" s="504">
        <f>$C23*$D23*(('INGRESOS AFILIACIONES'!F62*1.18)+('OTROS INGRESOS'!D25*1.18)+('OTROS INGRESOS'!D56*1.18)+('OTROS INGRESOS'!D86*1.18))</f>
        <v>1038.2329694911973</v>
      </c>
      <c r="F23" s="504">
        <f>$C23*$D23*(('INGRESOS AFILIACIONES'!G62*1.18)+('OTROS INGRESOS'!E25*1.18)+('OTROS INGRESOS'!E56*1.18)+('OTROS INGRESOS'!E86*1.18))</f>
        <v>1262.53628935552</v>
      </c>
      <c r="G23" s="504">
        <f>$C23*$D23*(('INGRESOS AFILIACIONES'!H62*1.18)+('OTROS INGRESOS'!F25*1.18)+('OTROS INGRESOS'!F56*1.18)+('OTROS INGRESOS'!F86*1.18))</f>
        <v>1462.3069407885373</v>
      </c>
      <c r="H23" s="504">
        <f>$C23*$D23*(('INGRESOS AFILIACIONES'!I62*1.18)+('OTROS INGRESOS'!G25*1.18)+('OTROS INGRESOS'!G56*1.18)+('OTROS INGRESOS'!G86*1.18))</f>
        <v>1223.4477341063373</v>
      </c>
      <c r="I23" s="504">
        <f>$C23*$D23*(('INGRESOS AFILIACIONES'!J62*1.18)+('OTROS INGRESOS'!H25*1.18)+('OTROS INGRESOS'!H56*1.18)+('OTROS INGRESOS'!H86*1.18))</f>
        <v>1267.4389594012623</v>
      </c>
      <c r="J23" s="504">
        <f>$C23*$D23*(('INGRESOS AFILIACIONES'!K62*1.18)+('OTROS INGRESOS'!I25*1.18)+('OTROS INGRESOS'!I56*1.18)+('OTROS INGRESOS'!I86*1.18))</f>
        <v>1609.1610745084622</v>
      </c>
      <c r="K23" s="504">
        <f>$C23*$D23*(('INGRESOS AFILIACIONES'!L62*1.18)+('OTROS INGRESOS'!J25*1.18)+('OTROS INGRESOS'!J56*1.18)+('OTROS INGRESOS'!J86*1.18))</f>
        <v>1667.762467863927</v>
      </c>
      <c r="L23" s="504">
        <f>$C23*$D23*(('INGRESOS AFILIACIONES'!M62*1.18)+('OTROS INGRESOS'!K25*1.18)+('OTROS INGRESOS'!K56*1.18)+('OTROS INGRESOS'!K86*1.18))</f>
        <v>1764.9292268771744</v>
      </c>
      <c r="M23" s="504">
        <f>$C23*$D23*(('INGRESOS AFILIACIONES'!N62*1.18)+('OTROS INGRESOS'!L25*1.18)+('OTROS INGRESOS'!L56*1.18)+('OTROS INGRESOS'!L86*1.18))</f>
        <v>1831.6858372061286</v>
      </c>
      <c r="N23" s="504">
        <f>$C23*$D23*(('INGRESOS AFILIACIONES'!O62*1.18)+('OTROS INGRESOS'!M25*1.18)+('OTROS INGRESOS'!M56*1.18)+('OTROS INGRESOS'!M86*1.18))</f>
        <v>1755.7040628432644</v>
      </c>
      <c r="O23" s="504">
        <f>$C23*$D23*(('INGRESOS AFILIACIONES'!P62*1.18)+('OTROS INGRESOS'!N25*1.18)+('OTROS INGRESOS'!N56*1.18)+('OTROS INGRESOS'!N86*1.18))</f>
        <v>1708.8068102236398</v>
      </c>
      <c r="P23" s="504">
        <f>$C23*$D23*(('INGRESOS AFILIACIONES'!Q62*1.18)+('OTROS INGRESOS'!O25*1.18)+('OTROS INGRESOS'!O56*1.18)+('OTROS INGRESOS'!O86*1.18))</f>
        <v>1551.6076746733406</v>
      </c>
      <c r="Q23" s="504">
        <f>$C23*$D23*(('INGRESOS AFILIACIONES'!R62*1.18)+('OTROS INGRESOS'!P25*1.18)+('OTROS INGRESOS'!P56*1.18)+('OTROS INGRESOS'!P86*1.18))</f>
        <v>2148.3433150248893</v>
      </c>
      <c r="R23" s="504">
        <f>$C23*$D23*(('INGRESOS AFILIACIONES'!S62*1.18)+('OTROS INGRESOS'!Q25*1.18)+('OTROS INGRESOS'!Q56*1.18)+('OTROS INGRESOS'!Q86*1.18))</f>
        <v>1948.5662358310751</v>
      </c>
      <c r="S23" s="504">
        <f>$C23*$D23*(('INGRESOS AFILIACIONES'!T62*1.18)+('OTROS INGRESOS'!R25*1.18)+('OTROS INGRESOS'!R56*1.18)+('OTROS INGRESOS'!R86*1.18))</f>
        <v>1581.3155941890382</v>
      </c>
      <c r="T23" s="504">
        <f>$C23*$D23*(('INGRESOS AFILIACIONES'!U62*1.18)+('OTROS INGRESOS'!S25*1.18)+('OTROS INGRESOS'!S56*1.18)+('OTROS INGRESOS'!S86*1.18))</f>
        <v>1359.9214520999058</v>
      </c>
      <c r="U23" s="504">
        <f>$C23*$D23*(('INGRESOS AFILIACIONES'!V62*1.18)+('OTROS INGRESOS'!T25*1.18)+('OTROS INGRESOS'!T56*1.18)+('OTROS INGRESOS'!T86*1.18))</f>
        <v>1323.6594861377755</v>
      </c>
      <c r="V23" s="504">
        <f>$C23*$D23*(('INGRESOS AFILIACIONES'!W62*1.18)+('OTROS INGRESOS'!U25*1.18)+('OTROS INGRESOS'!U56*1.18)+('OTROS INGRESOS'!U86*1.18))</f>
        <v>1530.5608416080929</v>
      </c>
      <c r="W23" s="504">
        <f>$C23*$D23*(('INGRESOS AFILIACIONES'!X62*1.18)+('OTROS INGRESOS'!V25*1.18)+('OTROS INGRESOS'!V56*1.18)+('OTROS INGRESOS'!V86*1.18))</f>
        <v>1705.791349092684</v>
      </c>
      <c r="X23" s="504">
        <f>$C23*$D23*(('INGRESOS AFILIACIONES'!Y62*1.18)+('OTROS INGRESOS'!W25*1.18)+('OTROS INGRESOS'!W56*1.18)+('OTROS INGRESOS'!W86*1.18))</f>
        <v>1769.3053534409228</v>
      </c>
      <c r="Y23" s="504">
        <f>$C23*$D23*(('INGRESOS AFILIACIONES'!Z62*1.18)+('OTROS INGRESOS'!X25*1.18)+('OTROS INGRESOS'!X56*1.18)+('OTROS INGRESOS'!X86*1.18))</f>
        <v>1906.9202687878778</v>
      </c>
      <c r="Z23" s="504">
        <f>$C23*$D23*(('INGRESOS AFILIACIONES'!AA62*1.18)+('OTROS INGRESOS'!Y25*1.18)+('OTROS INGRESOS'!Y56*1.18)+('OTROS INGRESOS'!Y86*1.18))</f>
        <v>1807.055457344956</v>
      </c>
      <c r="AA23" s="504">
        <f>$C23*$D23*(('INGRESOS AFILIACIONES'!AB62*1.18)+('OTROS INGRESOS'!Z25*1.18)+('OTROS INGRESOS'!Z56*1.18)+('OTROS INGRESOS'!Z86*1.18))</f>
        <v>1627.1789868385781</v>
      </c>
      <c r="AB23" s="504">
        <f>$C23*$D23*(('INGRESOS AFILIACIONES'!AC62*1.18)+('OTROS INGRESOS'!AA25*1.18)+('OTROS INGRESOS'!AA56*1.18)+('OTROS INGRESOS'!AA86*1.18))</f>
        <v>1577.8891011586923</v>
      </c>
      <c r="AC23" s="504">
        <f>$C23*$D23*(('INGRESOS AFILIACIONES'!AD62*1.18)+('OTROS INGRESOS'!AB25*1.18)+('OTROS INGRESOS'!AB56*1.18)+('OTROS INGRESOS'!AB86*1.18))</f>
        <v>2286.1408712414009</v>
      </c>
      <c r="AD23" s="504">
        <f>$C23*$D23*(('INGRESOS AFILIACIONES'!AE62*1.18)+('OTROS INGRESOS'!AC25*1.18)+('OTROS INGRESOS'!AC56*1.18)+('OTROS INGRESOS'!AC86*1.18))</f>
        <v>2048.7795194740984</v>
      </c>
      <c r="AE23" s="504">
        <f>$C23*$D23*(('INGRESOS AFILIACIONES'!AF62*1.18)+('OTROS INGRESOS'!AD25*1.18)+('OTROS INGRESOS'!AD56*1.18)+('OTROS INGRESOS'!AD86*1.18))</f>
        <v>1677.4951217118778</v>
      </c>
      <c r="AF23" s="504">
        <f>$C23*$D23*(('INGRESOS AFILIACIONES'!AG62*1.18)+('OTROS INGRESOS'!AE25*1.18)+('OTROS INGRESOS'!AE56*1.18)+('OTROS INGRESOS'!AE86*1.18))</f>
        <v>1454.8003937468993</v>
      </c>
      <c r="AG23" s="504">
        <f>$C23*$D23*(('INGRESOS AFILIACIONES'!AH62*1.18)+('OTROS INGRESOS'!AF25*1.18)+('OTROS INGRESOS'!AF56*1.18)+('OTROS INGRESOS'!AF86*1.18))</f>
        <v>1416.00009016742</v>
      </c>
      <c r="AH23" s="504">
        <f>$C23*$D23*(('INGRESOS AFILIACIONES'!AI62*1.18)+('OTROS INGRESOS'!AG25*1.18)+('OTROS INGRESOS'!AG56*1.18)+('OTROS INGRESOS'!AG86*1.18))</f>
        <v>1638.4096205206597</v>
      </c>
      <c r="AI23" s="504">
        <f>$C23*$D23*(('INGRESOS AFILIACIONES'!AJ62*1.18)+('OTROS INGRESOS'!AH25*1.18)+('OTROS INGRESOS'!AH56*1.18)+('OTROS INGRESOS'!AH86*1.18))</f>
        <v>1825.8239435291719</v>
      </c>
      <c r="AJ23" s="504">
        <f>$C23*$D23*(('INGRESOS AFILIACIONES'!AK62*1.18)+('OTROS INGRESOS'!AI25*1.18)+('OTROS INGRESOS'!AI56*1.18)+('OTROS INGRESOS'!AI86*1.18))</f>
        <v>1893.7839281817878</v>
      </c>
      <c r="AK23" s="504">
        <f>$C23*$D23*(('INGRESOS AFILIACIONES'!AL62*1.18)+('OTROS INGRESOS'!AJ25*1.18)+('OTROS INGRESOS'!AJ56*1.18)+('OTROS INGRESOS'!AJ86*1.18))</f>
        <v>2039.7735676030291</v>
      </c>
      <c r="AL23" s="504">
        <f>$C23*$D23*(('INGRESOS AFILIACIONES'!AM62*1.18)+('OTROS INGRESOS'!AK25*1.18)+('OTROS INGRESOS'!AK56*1.18)+('OTROS INGRESOS'!AK86*1.18))</f>
        <v>1934.1765393591033</v>
      </c>
      <c r="AM23" s="504">
        <f>$C23*$D23*(('INGRESOS AFILIACIONES'!AN62*1.18)+('OTROS INGRESOS'!AL25*1.18)+('OTROS INGRESOS'!AL56*1.18)+('OTROS INGRESOS'!AL86*1.18))</f>
        <v>1741.7910359172788</v>
      </c>
      <c r="AN23" s="504">
        <f>$C23*$D23*(('INGRESOS AFILIACIONES'!AO62*1.18)+('OTROS INGRESOS'!AM25*1.18)+('OTROS INGRESOS'!AM56*1.18)+('OTROS INGRESOS'!AM86*1.18))</f>
        <v>1687.8748582398005</v>
      </c>
      <c r="AO23" s="504">
        <f>$C23*$D23*(('INGRESOS AFILIACIONES'!AP62*1.18)+('OTROS INGRESOS'!AN25*1.18)+('OTROS INGRESOS'!AN56*1.18)+('OTROS INGRESOS'!AN86*1.18))</f>
        <v>2445.3063722282996</v>
      </c>
      <c r="AP23" s="504">
        <f>$C23*$D23*(('INGRESOS AFILIACIONES'!AQ62*1.18)+('OTROS INGRESOS'!AO25*1.18)+('OTROS INGRESOS'!AO56*1.18)+('OTROS INGRESOS'!AO86*1.18))</f>
        <v>2194.8949658372862</v>
      </c>
      <c r="AQ23" s="504">
        <f>$C23*$D23*(('INGRESOS AFILIACIONES'!AR62*1.18)+('OTROS INGRESOS'!AP25*1.18)+('OTROS INGRESOS'!AP56*1.18)+('OTROS INGRESOS'!AP86*1.18))</f>
        <v>1794.3709802317094</v>
      </c>
      <c r="AR23" s="504">
        <f>$C23*$D23*(('INGRESOS AFILIACIONES'!AS62*1.18)+('OTROS INGRESOS'!AQ25*1.18)+('OTROS INGRESOS'!AQ56*1.18)+('OTROS INGRESOS'!AQ86*1.18))</f>
        <v>1556.3208613091824</v>
      </c>
      <c r="AS23" s="504">
        <f>$C23*$D23*(('INGRESOS AFILIACIONES'!AT62*1.18)+('OTROS INGRESOS'!AR25*1.18)+('OTROS INGRESOS'!AR56*1.18)+('OTROS INGRESOS'!AR86*1.18))</f>
        <v>1514.8045364791396</v>
      </c>
      <c r="AT23" s="504">
        <f>$C23*$D23*(('INGRESOS AFILIACIONES'!AU62*1.18)+('OTROS INGRESOS'!AS25*1.18)+('OTROS INGRESOS'!AS56*1.18)+('OTROS INGRESOS'!AS86*1.18))</f>
        <v>1752.5494939571061</v>
      </c>
      <c r="AU23" s="504">
        <f>$C23*$D23*(('INGRESOS AFILIACIONES'!AV62*1.18)+('OTROS INGRESOS'!AT25*1.18)+('OTROS INGRESOS'!AT56*1.18)+('OTROS INGRESOS'!AT86*1.18))</f>
        <v>1953.0004995762145</v>
      </c>
      <c r="AV23" s="504">
        <f>$C23*$D23*(('INGRESOS AFILIACIONES'!AW62*1.18)+('OTROS INGRESOS'!AU25*1.18)+('OTROS INGRESOS'!AU56*1.18)+('OTROS INGRESOS'!AU86*1.18))</f>
        <v>2029.0496831545131</v>
      </c>
      <c r="AW23" s="504">
        <f>$C23*$D23*(('INGRESOS AFILIACIONES'!AX62*1.18)+('OTROS INGRESOS'!AV25*1.18)+('OTROS INGRESOS'!AV56*1.18)+('OTROS INGRESOS'!AV86*1.18))</f>
        <v>2185.2585973352416</v>
      </c>
      <c r="AX23" s="504">
        <f>$C23*$D23*(('INGRESOS AFILIACIONES'!AY62*1.18)+('OTROS INGRESOS'!AW25*1.18)+('OTROS INGRESOS'!AW56*1.18)+('OTROS INGRESOS'!AW86*1.18))</f>
        <v>2068.9377771142413</v>
      </c>
      <c r="AY23" s="504">
        <f>$C23*$D23*(('INGRESOS AFILIACIONES'!AZ62*1.18)+('OTROS INGRESOS'!AX25*1.18)+('OTROS INGRESOS'!AX56*1.18)+('OTROS INGRESOS'!AX86*1.18))</f>
        <v>1863.1676084314886</v>
      </c>
      <c r="AZ23" s="504">
        <f>$C23*$D23*(('INGRESOS AFILIACIONES'!BA62*1.18)+('OTROS INGRESOS'!AY25*1.18)+('OTROS INGRESOS'!AY56*1.18)+('OTROS INGRESOS'!AY86*1.18))</f>
        <v>1806.7356183165871</v>
      </c>
      <c r="BA23" s="504">
        <f>$C23*$D23*(('INGRESOS AFILIACIONES'!BB62*1.18)+('OTROS INGRESOS'!AZ25*1.18)+('OTROS INGRESOS'!AZ56*1.18)+('OTROS INGRESOS'!AZ86*1.18))</f>
        <v>2616.789458284281</v>
      </c>
      <c r="BB23" s="504">
        <f>$C23*$D23*(('INGRESOS AFILIACIONES'!BC62*1.18)+('OTROS INGRESOS'!BA25*1.18)+('OTROS INGRESOS'!BA56*1.18)+('OTROS INGRESOS'!BA86*1.18))</f>
        <v>2347.6732534458961</v>
      </c>
      <c r="BC23" s="504">
        <f>$C23*$D23*(('INGRESOS AFILIACIONES'!BD62*1.18)+('OTROS INGRESOS'!BB25*1.18)+('OTROS INGRESOS'!BB56*1.18)+('OTROS INGRESOS'!BB86*1.18))</f>
        <v>1920.6041488479291</v>
      </c>
      <c r="BD23" s="504">
        <f>$C23*$D23*(('INGRESOS AFILIACIONES'!BE62*1.18)+('OTROS INGRESOS'!BC25*1.18)+('OTROS INGRESOS'!BC56*1.18)+('OTROS INGRESOS'!BC86*1.18))</f>
        <v>1667.1037616008252</v>
      </c>
      <c r="BE23" s="504">
        <f>$C23*$D23*(('INGRESOS AFILIACIONES'!BF62*1.18)+('OTROS INGRESOS'!BD25*1.18)+('OTROS INGRESOS'!BD56*1.18)+('OTROS INGRESOS'!BD86*1.18))</f>
        <v>1622.6812940326797</v>
      </c>
      <c r="BF23" s="504">
        <f>$C23*$D23*(('INGRESOS AFILIACIONES'!BG62*1.18)+('OTROS INGRESOS'!BE25*1.18)+('OTROS INGRESOS'!BE56*1.18)+('OTROS INGRESOS'!BE86*1.18))</f>
        <v>1874.6791585341034</v>
      </c>
      <c r="BG23" s="504">
        <f>$C23*$D23*(('INGRESOS AFILIACIONES'!BH62*1.18)+('OTROS INGRESOS'!BF25*1.18)+('OTROS INGRESOS'!BF56*1.18)+('OTROS INGRESOS'!BF86*1.18))</f>
        <v>2092.4114145465496</v>
      </c>
      <c r="BH23" s="504">
        <f>$C23*$D23*(('INGRESOS AFILIACIONES'!BI62*1.18)+('OTROS INGRESOS'!BG25*1.18)+('OTROS INGRESOS'!BG56*1.18)+('OTROS INGRESOS'!BG86*1.18))</f>
        <v>2170.2188009753299</v>
      </c>
      <c r="BI23" s="504">
        <f>$C23*$D23*(('INGRESOS AFILIACIONES'!BJ62*1.18)+('OTROS INGRESOS'!BH25*1.18)+('OTROS INGRESOS'!BH56*1.18)+('OTROS INGRESOS'!BH86*1.18))</f>
        <v>2337.3623391487085</v>
      </c>
      <c r="BJ23" s="504">
        <f>$C23*$D23*(('INGRESOS AFILIACIONES'!BK62*1.18)+('OTROS INGRESOS'!BI25*1.18)+('OTROS INGRESOS'!BI56*1.18)+('OTROS INGRESOS'!BI86*1.18))</f>
        <v>2216.4643015122374</v>
      </c>
      <c r="BK23" s="504">
        <f>$C23*$D23*(('INGRESOS AFILIACIONES'!BL62*1.18)+('OTROS INGRESOS'!BJ25*1.18)+('OTROS INGRESOS'!BJ56*1.18)+('OTROS INGRESOS'!BJ86*1.18))</f>
        <v>1994.2165410216928</v>
      </c>
      <c r="BL23" s="504">
        <f>$C23*$D23*(('INGRESOS AFILIACIONES'!BM62*1.18)+('OTROS INGRESOS'!BK25*1.18)+('OTROS INGRESOS'!BK56*1.18)+('OTROS INGRESOS'!BK86*1.18))</f>
        <v>1932.6583115987487</v>
      </c>
      <c r="BM23" s="504">
        <f>$C23*$D23*(('INGRESOS AFILIACIONES'!BN62*1.18)+('OTROS INGRESOS'!BL25*1.18)+('OTROS INGRESOS'!BL56*1.18)+('OTROS INGRESOS'!BL86*1.18))</f>
        <v>2801.1740403641802</v>
      </c>
      <c r="BN23" s="504">
        <f>$C23*$D23*(('INGRESOS AFILIACIONES'!BO62*1.18)+('OTROS INGRESOS'!BM25*1.18)+('OTROS INGRESOS'!BM56*1.18)+('OTROS INGRESOS'!BM86*1.18))</f>
        <v>2511.1460211871095</v>
      </c>
      <c r="BO23" s="504">
        <f>$C23*$D23*(('INGRESOS AFILIACIONES'!BP62*1.18)+('OTROS INGRESOS'!BN25*1.18)+('OTROS INGRESOS'!BN56*1.18)+('OTROS INGRESOS'!BN86*1.18))</f>
        <v>2054.4153192672843</v>
      </c>
      <c r="BP23" s="504">
        <f>$C23*$D23*(('INGRESOS AFILIACIONES'!BQ62*1.18)+('OTROS INGRESOS'!BO25*1.18)+('OTROS INGRESOS'!BO56*1.18)+('OTROS INGRESOS'!BO86*1.18))</f>
        <v>1783.3345449128831</v>
      </c>
      <c r="BQ23" s="504">
        <f>$C23*$D23*(('INGRESOS AFILIACIONES'!BR62*1.18)+('OTROS INGRESOS'!BP25*1.18)+('OTROS INGRESOS'!BP56*1.18)+('OTROS INGRESOS'!BP86*1.18))</f>
        <v>1735.8025046149673</v>
      </c>
      <c r="BR23" s="504">
        <f>$C23*$D23*(('INGRESOS AFILIACIONES'!BS62*1.18)+('OTROS INGRESOS'!BQ25*1.18)+('OTROS INGRESOS'!BQ56*1.18)+('OTROS INGRESOS'!BQ86*1.18))</f>
        <v>2006.5338996314911</v>
      </c>
      <c r="BS23" s="504">
        <f>$C23*$D23*(('INGRESOS AFILIACIONES'!BT62*1.18)+('OTROS INGRESOS'!BR25*1.18)+('OTROS INGRESOS'!BR56*1.18)+('OTROS INGRESOS'!BR86*1.18))</f>
        <v>2238.0158535648084</v>
      </c>
      <c r="BT23" s="504">
        <f>$C23*$D23*(('INGRESOS AFILIACIONES'!BU62*1.18)+('OTROS INGRESOS'!BS25*1.18)+('OTROS INGRESOS'!BS56*1.18)+('OTROS INGRESOS'!BS86*1.18))</f>
        <v>2321.2697570436026</v>
      </c>
      <c r="BU23" s="504">
        <f>$C23*$D23*(('INGRESOS AFILIACIONES'!BV62*1.18)+('OTROS INGRESOS'!BT25*1.18)+('OTROS INGRESOS'!BT56*1.18)+('OTROS INGRESOS'!BT86*1.18))</f>
        <v>2500.1133428891185</v>
      </c>
      <c r="BV23" s="504">
        <f>$C23*$D23*(('INGRESOS AFILIACIONES'!BW62*1.18)+('OTROS INGRESOS'!BU25*1.18)+('OTROS INGRESOS'!BU56*1.18)+('OTROS INGRESOS'!BU86*1.18))</f>
        <v>2370.7524426180948</v>
      </c>
      <c r="BW23" s="504">
        <f>$C23*$D23*(('INGRESOS AFILIACIONES'!BX62*1.18)+('OTROS INGRESOS'!BV25*1.18)+('OTROS INGRESOS'!BV56*1.18)+('OTROS INGRESOS'!BV86*1.18))</f>
        <v>2133.1805788932115</v>
      </c>
      <c r="BX23" s="504">
        <f>$C23*$D23*(('INGRESOS AFILIACIONES'!BY62*1.18)+('OTROS INGRESOS'!BW25*1.18)+('OTROS INGRESOS'!BW56*1.18)+('OTROS INGRESOS'!BW86*1.18))</f>
        <v>2068.5715934106606</v>
      </c>
      <c r="BY23" s="504">
        <f>$C23*$D23*(('INGRESOS AFILIACIONES'!BZ62*1.18)+('OTROS INGRESOS'!BX25*1.18)+('OTROS INGRESOS'!BX56*1.18)+('OTROS INGRESOS'!BX86*1.18))</f>
        <v>2996.1586231896736</v>
      </c>
      <c r="BZ23" s="504">
        <f>$C23*$D23*(('INGRESOS AFILIACIONES'!CA62*1.18)+('OTROS INGRESOS'!BY25*1.18)+('OTROS INGRESOS'!BY56*1.18)+('OTROS INGRESOS'!BY86*1.18))</f>
        <v>2687.2378826702075</v>
      </c>
      <c r="CA23" s="504">
        <f>$C23*$D23*(('INGRESOS AFILIACIONES'!CB62*1.18)+('OTROS INGRESOS'!BZ25*1.18)+('OTROS INGRESOS'!BZ56*1.18)+('OTROS INGRESOS'!BZ86*1.18))</f>
        <v>2200.9252716159945</v>
      </c>
      <c r="CB23" s="504">
        <f>$C23*$D23*(('INGRESOS AFILIACIONES'!CC62*1.18)+('OTROS INGRESOS'!CA25*1.18)+('OTROS INGRESOS'!CA56*1.18)+('OTROS INGRESOS'!CA86*1.18))</f>
        <v>1908.8774830567852</v>
      </c>
      <c r="CC23" s="504">
        <f>$C23*$D23*(('INGRESOS AFILIACIONES'!CD62*1.18)+('OTROS INGRESOS'!CB25*1.18)+('OTROS INGRESOS'!CB56*1.18)+('OTROS INGRESOS'!CB86*1.18))</f>
        <v>1858.018199938015</v>
      </c>
      <c r="CD23" s="504">
        <f>$C23*$D23*(('INGRESOS AFILIACIONES'!CE62*1.18)+('OTROS INGRESOS'!CC25*1.18)+('OTROS INGRESOS'!CC56*1.18)+('OTROS INGRESOS'!CC86*1.18))</f>
        <v>2146.3601526056959</v>
      </c>
      <c r="CE23" s="504">
        <f>$C23*$D23*(('INGRESOS AFILIACIONES'!CF62*1.18)+('OTROS INGRESOS'!CD25*1.18)+('OTROS INGRESOS'!CD56*1.18)+('OTROS INGRESOS'!CD86*1.18))</f>
        <v>2393.8126033143449</v>
      </c>
      <c r="CF23" s="504">
        <f>$C23*$D23*(('INGRESOS AFILIACIONES'!CG62*1.18)+('OTROS INGRESOS'!CE25*1.18)+('OTROS INGRESOS'!CE56*1.18)+('OTROS INGRESOS'!CE86*1.18))</f>
        <v>2482.8942800366549</v>
      </c>
      <c r="CG23" s="504">
        <f>$C23*$D23*(('INGRESOS AFILIACIONES'!CH62*1.18)+('OTROS INGRESOS'!CF25*1.18)+('OTROS INGRESOS'!CF56*1.18)+('OTROS INGRESOS'!CF86*1.18))</f>
        <v>2675.4329168913573</v>
      </c>
      <c r="CH23" s="504">
        <f>$C23*$D23*(('INGRESOS AFILIACIONES'!CI62*1.18)+('OTROS INGRESOS'!CG25*1.18)+('OTROS INGRESOS'!CG56*1.18)+('OTROS INGRESOS'!CG86*1.18))</f>
        <v>2535.8407536013615</v>
      </c>
      <c r="CI23" s="504">
        <f>$C23*$D23*(('INGRESOS AFILIACIONES'!CJ62*1.18)+('OTROS INGRESOS'!CH25*1.18)+('OTROS INGRESOS'!CH56*1.18)+('OTROS INGRESOS'!CH86*1.18))</f>
        <v>2285.2040994157369</v>
      </c>
      <c r="CJ23" s="504">
        <f>$C23*$D23*(('INGRESOS AFILIACIONES'!CK62*1.18)+('OTROS INGRESOS'!CI25*1.18)+('OTROS INGRESOS'!CI56*1.18)+('OTROS INGRESOS'!CI86*1.18))</f>
        <v>2212.7404849494073</v>
      </c>
      <c r="CK23" s="504">
        <f>$C23*$D23*(('INGRESOS AFILIACIONES'!CL62*1.18)+('OTROS INGRESOS'!CJ25*1.18)+('OTROS INGRESOS'!CJ56*1.18)+('OTROS INGRESOS'!CJ86*1.18))</f>
        <v>3205.9681268129511</v>
      </c>
      <c r="CL23" s="504">
        <f>$C23*$D23*(('INGRESOS AFILIACIONES'!CM62*1.18)+('OTROS INGRESOS'!CK25*1.18)+('OTROS INGRESOS'!CK56*1.18)+('OTROS INGRESOS'!CK86*1.18))</f>
        <v>2876.5538544571218</v>
      </c>
      <c r="CM23" s="504">
        <f>$C23*$D23*(('INGRESOS AFILIACIONES'!CN62*1.18)+('OTROS INGRESOS'!CL25*1.18)+('OTROS INGRESOS'!CL56*1.18)+('OTROS INGRESOS'!CL86*1.18))</f>
        <v>2354.1256806291144</v>
      </c>
      <c r="CN23" s="504">
        <f>$C23*$D23*(('INGRESOS AFILIACIONES'!CO62*1.18)+('OTROS INGRESOS'!CM25*1.18)+('OTROS INGRESOS'!CM56*1.18)+('OTROS INGRESOS'!CM86*1.18))</f>
        <v>2041.9501068707605</v>
      </c>
      <c r="CO23" s="504">
        <f>$C23*$D23*(('INGRESOS AFILIACIONES'!CP62*1.18)+('OTROS INGRESOS'!CN25*1.18)+('OTROS INGRESOS'!CN56*1.18)+('OTROS INGRESOS'!CN86*1.18))</f>
        <v>1987.5306739336766</v>
      </c>
      <c r="CP23" s="504">
        <f>$C23*$D23*(('INGRESOS AFILIACIONES'!CQ62*1.18)+('OTROS INGRESOS'!CO25*1.18)+('OTROS INGRESOS'!CO56*1.18)+('OTROS INGRESOS'!CO86*1.18))</f>
        <v>2299.3062432880943</v>
      </c>
      <c r="CQ23" s="504">
        <f>$C23*$D23*(('INGRESOS AFILIACIONES'!CR62*1.18)+('OTROS INGRESOS'!CP25*1.18)+('OTROS INGRESOS'!CP56*1.18)+('OTROS INGRESOS'!CP86*1.18))</f>
        <v>2561.6911255463488</v>
      </c>
      <c r="CR23" s="504">
        <f>$C23*$D23*(('INGRESOS AFILIACIONES'!CS62*1.18)+('OTROS INGRESOS'!CQ25*1.18)+('OTROS INGRESOS'!CQ56*1.18)+('OTROS INGRESOS'!CQ86*1.18))</f>
        <v>2657.0085196392201</v>
      </c>
      <c r="CS23" s="504">
        <f>$C23*$D23*(('INGRESOS AFILIACIONES'!CT62*1.18)+('OTROS INGRESOS'!CR25*1.18)+('OTROS INGRESOS'!CR56*1.18)+('OTROS INGRESOS'!CR86*1.18))</f>
        <v>2863.9225410737522</v>
      </c>
      <c r="CT23" s="504">
        <f>$C23*$D23*(('INGRESOS AFILIACIONES'!CU62*1.18)+('OTROS INGRESOS'!CS25*1.18)+('OTROS INGRESOS'!CS56*1.18)+('OTROS INGRESOS'!CS86*1.18))</f>
        <v>2713.6612463534566</v>
      </c>
      <c r="CU23" s="504">
        <f>$C23*$D23*(('INGRESOS AFILIACIONES'!CV62*1.18)+('OTROS INGRESOS'!CT25*1.18)+('OTROS INGRESOS'!CT56*1.18)+('OTROS INGRESOS'!CT86*1.18))</f>
        <v>2444.3040263748385</v>
      </c>
      <c r="CV23" s="504">
        <f>$C23*$D23*(('INGRESOS AFILIACIONES'!CW62*1.18)+('OTROS INGRESOS'!CU25*1.18)+('OTROS INGRESOS'!CU56*1.18)+('OTROS INGRESOS'!CU86*1.18))</f>
        <v>2370.3331988958657</v>
      </c>
      <c r="CW23" s="504">
        <f>$C23*$D23*(('INGRESOS AFILIACIONES'!CX62*1.18)+('OTROS INGRESOS'!CV25*1.18)+('OTROS INGRESOS'!CV56*1.18)+('OTROS INGRESOS'!CV86*1.18))</f>
        <v>3429.2059756898584</v>
      </c>
      <c r="CX23" s="504">
        <f>$C23*$D23*(('INGRESOS AFILIACIONES'!CY62*1.18)+('OTROS INGRESOS'!CW25*1.18)+('OTROS INGRESOS'!CW56*1.18)+('OTROS INGRESOS'!CW86*1.18))</f>
        <v>3076.8150242691199</v>
      </c>
      <c r="CY23" s="504">
        <f>$C23*$D23*(('INGRESOS AFILIACIONES'!CZ62*1.18)+('OTROS INGRESOS'!CX25*1.18)+('OTROS INGRESOS'!CX56*1.18)+('OTROS INGRESOS'!CX86*1.18))</f>
        <v>2518.0501182731523</v>
      </c>
      <c r="CZ23" s="504">
        <f>$C23*$D23*(('INGRESOS AFILIACIONES'!DA62*1.18)+('OTROS INGRESOS'!CY25*1.18)+('OTROS INGRESOS'!CY56*1.18)+('OTROS INGRESOS'!CY86*1.18))</f>
        <v>2185.5138143517133</v>
      </c>
      <c r="DA23" s="504">
        <f>$C23*$D23*(('INGRESOS AFILIACIONES'!DB62*1.18)+('OTROS INGRESOS'!CZ25*1.18)+('OTROS INGRESOS'!CZ56*1.18)+('OTROS INGRESOS'!CZ86*1.18))</f>
        <v>2127.2850211090336</v>
      </c>
      <c r="DB23" s="504">
        <f>$C23*$D23*(('INGRESOS AFILIACIONES'!DC62*1.18)+('OTROS INGRESOS'!DA25*1.18)+('OTROS INGRESOS'!DA56*1.18)+('OTROS INGRESOS'!DA86*1.18))</f>
        <v>2459.3933203182614</v>
      </c>
      <c r="DC23" s="504">
        <f>$C23*$D23*(('INGRESOS AFILIACIONES'!DD62*1.18)+('OTROS INGRESOS'!DB25*1.18)+('OTROS INGRESOS'!DB56*1.18)+('OTROS INGRESOS'!DB86*1.18))</f>
        <v>2742.2188243345936</v>
      </c>
      <c r="DD23" s="504">
        <f>$C23*$D23*(('INGRESOS AFILIACIONES'!DE62*1.18)+('OTROS INGRESOS'!DC25*1.18)+('OTROS INGRESOS'!DC56*1.18)+('OTROS INGRESOS'!DC86*1.18))</f>
        <v>2844.2084360139661</v>
      </c>
      <c r="DE23" s="504">
        <f>$C23*$D23*(('INGRESOS AFILIACIONES'!DF62*1.18)+('OTROS INGRESOS'!DD25*1.18)+('OTROS INGRESOS'!DD56*1.18)+('OTROS INGRESOS'!DD86*1.18))</f>
        <v>3063.2995189489143</v>
      </c>
      <c r="DF23" s="504">
        <f>$C23*$D23*(('INGRESOS AFILIACIONES'!DG62*1.18)+('OTROS INGRESOS'!DE25*1.18)+('OTROS INGRESOS'!DE56*1.18)+('OTROS INGRESOS'!DE86*1.18))</f>
        <v>2904.8268535981988</v>
      </c>
      <c r="DG23" s="504">
        <f>$C23*$D23*(('INGRESOS AFILIACIONES'!DH62*1.18)+('OTROS INGRESOS'!DF25*1.18)+('OTROS INGRESOS'!DF56*1.18)+('OTROS INGRESOS'!DF86*1.18))</f>
        <v>2614.5409482210766</v>
      </c>
      <c r="DH23" s="504">
        <f>$C23*$D23*(('INGRESOS AFILIACIONES'!DI62*1.18)+('OTROS INGRESOS'!DG25*1.18)+('OTROS INGRESOS'!DG56*1.18)+('OTROS INGRESOS'!DG86*1.18))</f>
        <v>2535.3921628185772</v>
      </c>
      <c r="DI23" s="504">
        <f>$C23*$D23*(('INGRESOS AFILIACIONES'!DJ62*1.18)+('OTROS INGRESOS'!DH25*1.18)+('OTROS INGRESOS'!DH56*1.18)+('OTROS INGRESOS'!DH86*1.18))</f>
        <v>3672.5784739881474</v>
      </c>
      <c r="DJ23" s="504">
        <f>$C23*$D23*(('INGRESOS AFILIACIONES'!DK62*1.18)+('OTROS INGRESOS'!DI25*1.18)+('OTROS INGRESOS'!DI56*1.18)+('OTROS INGRESOS'!DI86*1.18))</f>
        <v>3292.2704759679577</v>
      </c>
      <c r="DK23" s="504">
        <f>$C23*$D23*(('INGRESOS AFILIACIONES'!DL62*1.18)+('OTROS INGRESOS'!DJ25*1.18)+('OTROS INGRESOS'!DJ56*1.18)+('OTROS INGRESOS'!DJ86*1.18))</f>
        <v>2694.6252665522729</v>
      </c>
      <c r="DL23" s="504">
        <f>$C23*$D23*(('INGRESOS AFILIACIONES'!DM62*1.18)+('OTROS INGRESOS'!DK25*1.18)+('OTROS INGRESOS'!DK56*1.18)+('OTROS INGRESOS'!DK86*1.18))</f>
        <v>2337.8686613563336</v>
      </c>
      <c r="DM23" s="504">
        <f>$C23*$D23*(('INGRESOS AFILIACIONES'!DN62*1.18)+('OTROS INGRESOS'!DL25*1.18)+('OTROS INGRESOS'!DL56*1.18)+('OTROS INGRESOS'!DL86*1.18))</f>
        <v>2275.5638525866657</v>
      </c>
      <c r="DN23" s="504">
        <f>$C23*$D23*(('INGRESOS AFILIACIONES'!DO62*1.18)+('OTROS INGRESOS'!DM25*1.18)+('OTROS INGRESOS'!DM56*1.18)+('OTROS INGRESOS'!DM86*1.18))</f>
        <v>2630.68649274054</v>
      </c>
      <c r="DO23" s="504">
        <f>$C23*$D23*(('INGRESOS AFILIACIONES'!DP62*1.18)+('OTROS INGRESOS'!DN25*1.18)+('OTROS INGRESOS'!DN56*1.18)+('OTROS INGRESOS'!DN86*1.18))</f>
        <v>2933.0765420380148</v>
      </c>
      <c r="DP23" s="504">
        <f>$C23*$D23*(('INGRESOS AFILIACIONES'!DQ62*1.18)+('OTROS INGRESOS'!DO25*1.18)+('OTROS INGRESOS'!DO56*1.18)+('OTROS INGRESOS'!DO86*1.18))</f>
        <v>3043.3814265349442</v>
      </c>
      <c r="DQ23" s="504">
        <f>$C23*$D23*(('INGRESOS AFILIACIONES'!DR62*1.18)+('OTROS INGRESOS'!DP25*1.18)+('OTROS INGRESOS'!DP56*1.18)+('OTROS INGRESOS'!DP86*1.18))</f>
        <v>3277.808885275339</v>
      </c>
      <c r="DR23" s="504">
        <f>$C23*$D23*(('INGRESOS AFILIACIONES'!DS62*1.18)+('OTROS INGRESOS'!DQ25*1.18)+('OTROS INGRESOS'!DQ56*1.18)+('OTROS INGRESOS'!DQ86*1.18))</f>
        <v>3107.0671333500727</v>
      </c>
      <c r="DS23" s="504">
        <f>$C23*$D23*(('INGRESOS AFILIACIONES'!DT62*1.18)+('OTROS INGRESOS'!DR25*1.18)+('OTROS INGRESOS'!DR56*1.18)+('OTROS INGRESOS'!DR86*1.18))</f>
        <v>2797.8704545965525</v>
      </c>
      <c r="DT23" s="504">
        <f>$C23*$D23*(('INGRESOS AFILIACIONES'!DU62*1.18)+('OTROS INGRESOS'!DS25*1.18)+('OTROS INGRESOS'!DS56*1.18)+('OTROS INGRESOS'!DS86*1.18))</f>
        <v>2712.0052542158769</v>
      </c>
    </row>
    <row r="24" spans="2:136" ht="25.5" x14ac:dyDescent="0.25">
      <c r="B24" s="513" t="s">
        <v>144</v>
      </c>
      <c r="C24" s="502">
        <v>0.35</v>
      </c>
      <c r="D24" s="503">
        <v>3.5000000000000003E-2</v>
      </c>
      <c r="E24" s="504">
        <f>$C24*$D24*(('INGRESOS AFILIACIONES'!F62*1.18)+('OTROS INGRESOS'!D25*1.18)+('OTROS INGRESOS'!D56*1.18)+('OTROS INGRESOS'!D86*1.18))</f>
        <v>1297.7912118639968</v>
      </c>
      <c r="F24" s="504">
        <f>$C24*$D24*(('INGRESOS AFILIACIONES'!G62*1.18)+('OTROS INGRESOS'!E25*1.18)+('OTROS INGRESOS'!E56*1.18)+('OTROS INGRESOS'!E86*1.18))</f>
        <v>1578.1703616944003</v>
      </c>
      <c r="G24" s="504">
        <f>$C24*$D24*(('INGRESOS AFILIACIONES'!H62*1.18)+('OTROS INGRESOS'!F25*1.18)+('OTROS INGRESOS'!F56*1.18)+('OTROS INGRESOS'!F86*1.18))</f>
        <v>1827.8836759856717</v>
      </c>
      <c r="H24" s="504">
        <f>$C24*$D24*(('INGRESOS AFILIACIONES'!I62*1.18)+('OTROS INGRESOS'!G25*1.18)+('OTROS INGRESOS'!G56*1.18)+('OTROS INGRESOS'!G86*1.18))</f>
        <v>1529.3096676329219</v>
      </c>
      <c r="I24" s="504">
        <f>$C24*$D24*(('INGRESOS AFILIACIONES'!J62*1.18)+('OTROS INGRESOS'!H25*1.18)+('OTROS INGRESOS'!H56*1.18)+('OTROS INGRESOS'!H86*1.18))</f>
        <v>1584.298699251578</v>
      </c>
      <c r="J24" s="504">
        <f>$C24*$D24*(('INGRESOS AFILIACIONES'!K62*1.18)+('OTROS INGRESOS'!I25*1.18)+('OTROS INGRESOS'!I56*1.18)+('OTROS INGRESOS'!I86*1.18))</f>
        <v>2011.4513431355779</v>
      </c>
      <c r="K24" s="504">
        <f>$C24*$D24*(('INGRESOS AFILIACIONES'!L62*1.18)+('OTROS INGRESOS'!J25*1.18)+('OTROS INGRESOS'!J56*1.18)+('OTROS INGRESOS'!J86*1.18))</f>
        <v>2084.7030848299087</v>
      </c>
      <c r="L24" s="504">
        <f>$C24*$D24*(('INGRESOS AFILIACIONES'!M62*1.18)+('OTROS INGRESOS'!K25*1.18)+('OTROS INGRESOS'!K56*1.18)+('OTROS INGRESOS'!K86*1.18))</f>
        <v>2206.1615335964684</v>
      </c>
      <c r="M24" s="504">
        <f>$C24*$D24*(('INGRESOS AFILIACIONES'!N62*1.18)+('OTROS INGRESOS'!L25*1.18)+('OTROS INGRESOS'!L56*1.18)+('OTROS INGRESOS'!L86*1.18))</f>
        <v>2289.6072965076605</v>
      </c>
      <c r="N24" s="504">
        <f>$C24*$D24*(('INGRESOS AFILIACIONES'!O62*1.18)+('OTROS INGRESOS'!M25*1.18)+('OTROS INGRESOS'!M56*1.18)+('OTROS INGRESOS'!M86*1.18))</f>
        <v>2194.6300785540807</v>
      </c>
      <c r="O24" s="504">
        <f>$C24*$D24*(('INGRESOS AFILIACIONES'!P62*1.18)+('OTROS INGRESOS'!N25*1.18)+('OTROS INGRESOS'!N56*1.18)+('OTROS INGRESOS'!N86*1.18))</f>
        <v>2136.0085127795501</v>
      </c>
      <c r="P24" s="504">
        <f>$C24*$D24*(('INGRESOS AFILIACIONES'!Q62*1.18)+('OTROS INGRESOS'!O25*1.18)+('OTROS INGRESOS'!O56*1.18)+('OTROS INGRESOS'!O86*1.18))</f>
        <v>1939.509593341676</v>
      </c>
      <c r="Q24" s="504">
        <f>$C24*$D24*(('INGRESOS AFILIACIONES'!R62*1.18)+('OTROS INGRESOS'!P25*1.18)+('OTROS INGRESOS'!P56*1.18)+('OTROS INGRESOS'!P86*1.18))</f>
        <v>2685.4291437811121</v>
      </c>
      <c r="R24" s="504">
        <f>$C24*$D24*(('INGRESOS AFILIACIONES'!S62*1.18)+('OTROS INGRESOS'!Q25*1.18)+('OTROS INGRESOS'!Q56*1.18)+('OTROS INGRESOS'!Q86*1.18))</f>
        <v>2435.7077947888442</v>
      </c>
      <c r="S24" s="504">
        <f>$C24*$D24*(('INGRESOS AFILIACIONES'!T62*1.18)+('OTROS INGRESOS'!R25*1.18)+('OTROS INGRESOS'!R56*1.18)+('OTROS INGRESOS'!R86*1.18))</f>
        <v>1976.6444927362979</v>
      </c>
      <c r="T24" s="504">
        <f>$C24*$D24*(('INGRESOS AFILIACIONES'!U62*1.18)+('OTROS INGRESOS'!S25*1.18)+('OTROS INGRESOS'!S56*1.18)+('OTROS INGRESOS'!S86*1.18))</f>
        <v>1699.9018151248822</v>
      </c>
      <c r="U24" s="504">
        <f>$C24*$D24*(('INGRESOS AFILIACIONES'!V62*1.18)+('OTROS INGRESOS'!T25*1.18)+('OTROS INGRESOS'!T56*1.18)+('OTROS INGRESOS'!T86*1.18))</f>
        <v>1654.5743576722195</v>
      </c>
      <c r="V24" s="504">
        <f>$C24*$D24*(('INGRESOS AFILIACIONES'!W62*1.18)+('OTROS INGRESOS'!U25*1.18)+('OTROS INGRESOS'!U56*1.18)+('OTROS INGRESOS'!U86*1.18))</f>
        <v>1913.2010520101162</v>
      </c>
      <c r="W24" s="504">
        <f>$C24*$D24*(('INGRESOS AFILIACIONES'!X62*1.18)+('OTROS INGRESOS'!V25*1.18)+('OTROS INGRESOS'!V56*1.18)+('OTROS INGRESOS'!V86*1.18))</f>
        <v>2132.2391863658549</v>
      </c>
      <c r="X24" s="504">
        <f>$C24*$D24*(('INGRESOS AFILIACIONES'!Y62*1.18)+('OTROS INGRESOS'!W25*1.18)+('OTROS INGRESOS'!W56*1.18)+('OTROS INGRESOS'!W86*1.18))</f>
        <v>2211.6316918011535</v>
      </c>
      <c r="Y24" s="504">
        <f>$C24*$D24*(('INGRESOS AFILIACIONES'!Z62*1.18)+('OTROS INGRESOS'!X25*1.18)+('OTROS INGRESOS'!X56*1.18)+('OTROS INGRESOS'!X86*1.18))</f>
        <v>2383.6503359848475</v>
      </c>
      <c r="Z24" s="504">
        <f>$C24*$D24*(('INGRESOS AFILIACIONES'!AA62*1.18)+('OTROS INGRESOS'!Y25*1.18)+('OTROS INGRESOS'!Y56*1.18)+('OTROS INGRESOS'!Y86*1.18))</f>
        <v>2258.8193216811951</v>
      </c>
      <c r="AA24" s="504">
        <f>$C24*$D24*(('INGRESOS AFILIACIONES'!AB62*1.18)+('OTROS INGRESOS'!Z25*1.18)+('OTROS INGRESOS'!Z56*1.18)+('OTROS INGRESOS'!Z86*1.18))</f>
        <v>2033.9737335482228</v>
      </c>
      <c r="AB24" s="504">
        <f>$C24*$D24*(('INGRESOS AFILIACIONES'!AC62*1.18)+('OTROS INGRESOS'!AA25*1.18)+('OTROS INGRESOS'!AA56*1.18)+('OTROS INGRESOS'!AA86*1.18))</f>
        <v>1972.3613764483655</v>
      </c>
      <c r="AC24" s="504">
        <f>$C24*$D24*(('INGRESOS AFILIACIONES'!AD62*1.18)+('OTROS INGRESOS'!AB25*1.18)+('OTROS INGRESOS'!AB56*1.18)+('OTROS INGRESOS'!AB86*1.18))</f>
        <v>2857.6760890517517</v>
      </c>
      <c r="AD24" s="504">
        <f>$C24*$D24*(('INGRESOS AFILIACIONES'!AE62*1.18)+('OTROS INGRESOS'!AC25*1.18)+('OTROS INGRESOS'!AC56*1.18)+('OTROS INGRESOS'!AC86*1.18))</f>
        <v>2560.9743993426237</v>
      </c>
      <c r="AE24" s="504">
        <f>$C24*$D24*(('INGRESOS AFILIACIONES'!AF62*1.18)+('OTROS INGRESOS'!AD25*1.18)+('OTROS INGRESOS'!AD56*1.18)+('OTROS INGRESOS'!AD86*1.18))</f>
        <v>2096.8689021398473</v>
      </c>
      <c r="AF24" s="504">
        <f>$C24*$D24*(('INGRESOS AFILIACIONES'!AG62*1.18)+('OTROS INGRESOS'!AE25*1.18)+('OTROS INGRESOS'!AE56*1.18)+('OTROS INGRESOS'!AE86*1.18))</f>
        <v>1818.5004921836244</v>
      </c>
      <c r="AG24" s="504">
        <f>$C24*$D24*(('INGRESOS AFILIACIONES'!AH62*1.18)+('OTROS INGRESOS'!AF25*1.18)+('OTROS INGRESOS'!AF56*1.18)+('OTROS INGRESOS'!AF86*1.18))</f>
        <v>1770.0001127092753</v>
      </c>
      <c r="AH24" s="504">
        <f>$C24*$D24*(('INGRESOS AFILIACIONES'!AI62*1.18)+('OTROS INGRESOS'!AG25*1.18)+('OTROS INGRESOS'!AG56*1.18)+('OTROS INGRESOS'!AG86*1.18))</f>
        <v>2048.0120256508249</v>
      </c>
      <c r="AI24" s="504">
        <f>$C24*$D24*(('INGRESOS AFILIACIONES'!AJ62*1.18)+('OTROS INGRESOS'!AH25*1.18)+('OTROS INGRESOS'!AH56*1.18)+('OTROS INGRESOS'!AH86*1.18))</f>
        <v>2282.2799294114652</v>
      </c>
      <c r="AJ24" s="504">
        <f>$C24*$D24*(('INGRESOS AFILIACIONES'!AK62*1.18)+('OTROS INGRESOS'!AI25*1.18)+('OTROS INGRESOS'!AI56*1.18)+('OTROS INGRESOS'!AI86*1.18))</f>
        <v>2367.229910227235</v>
      </c>
      <c r="AK24" s="504">
        <f>$C24*$D24*(('INGRESOS AFILIACIONES'!AL62*1.18)+('OTROS INGRESOS'!AJ25*1.18)+('OTROS INGRESOS'!AJ56*1.18)+('OTROS INGRESOS'!AJ86*1.18))</f>
        <v>2549.7169595037867</v>
      </c>
      <c r="AL24" s="504">
        <f>$C24*$D24*(('INGRESOS AFILIACIONES'!AM62*1.18)+('OTROS INGRESOS'!AK25*1.18)+('OTROS INGRESOS'!AK56*1.18)+('OTROS INGRESOS'!AK86*1.18))</f>
        <v>2417.7206741988794</v>
      </c>
      <c r="AM24" s="504">
        <f>$C24*$D24*(('INGRESOS AFILIACIONES'!AN62*1.18)+('OTROS INGRESOS'!AL25*1.18)+('OTROS INGRESOS'!AL56*1.18)+('OTROS INGRESOS'!AL86*1.18))</f>
        <v>2177.2387948965988</v>
      </c>
      <c r="AN24" s="504">
        <f>$C24*$D24*(('INGRESOS AFILIACIONES'!AO62*1.18)+('OTROS INGRESOS'!AM25*1.18)+('OTROS INGRESOS'!AM56*1.18)+('OTROS INGRESOS'!AM86*1.18))</f>
        <v>2109.8435727997507</v>
      </c>
      <c r="AO24" s="504">
        <f>$C24*$D24*(('INGRESOS AFILIACIONES'!AP62*1.18)+('OTROS INGRESOS'!AN25*1.18)+('OTROS INGRESOS'!AN56*1.18)+('OTROS INGRESOS'!AN86*1.18))</f>
        <v>3056.6329652853747</v>
      </c>
      <c r="AP24" s="504">
        <f>$C24*$D24*(('INGRESOS AFILIACIONES'!AQ62*1.18)+('OTROS INGRESOS'!AO25*1.18)+('OTROS INGRESOS'!AO56*1.18)+('OTROS INGRESOS'!AO86*1.18))</f>
        <v>2743.6187072966077</v>
      </c>
      <c r="AQ24" s="504">
        <f>$C24*$D24*(('INGRESOS AFILIACIONES'!AR62*1.18)+('OTROS INGRESOS'!AP25*1.18)+('OTROS INGRESOS'!AP56*1.18)+('OTROS INGRESOS'!AP86*1.18))</f>
        <v>2242.9637252896368</v>
      </c>
      <c r="AR24" s="504">
        <f>$C24*$D24*(('INGRESOS AFILIACIONES'!AS62*1.18)+('OTROS INGRESOS'!AQ25*1.18)+('OTROS INGRESOS'!AQ56*1.18)+('OTROS INGRESOS'!AQ86*1.18))</f>
        <v>1945.4010766364784</v>
      </c>
      <c r="AS24" s="504">
        <f>$C24*$D24*(('INGRESOS AFILIACIONES'!AT62*1.18)+('OTROS INGRESOS'!AR25*1.18)+('OTROS INGRESOS'!AR56*1.18)+('OTROS INGRESOS'!AR86*1.18))</f>
        <v>1893.5056705989248</v>
      </c>
      <c r="AT24" s="504">
        <f>$C24*$D24*(('INGRESOS AFILIACIONES'!AU62*1.18)+('OTROS INGRESOS'!AS25*1.18)+('OTROS INGRESOS'!AS56*1.18)+('OTROS INGRESOS'!AS86*1.18))</f>
        <v>2190.6868674463826</v>
      </c>
      <c r="AU24" s="504">
        <f>$C24*$D24*(('INGRESOS AFILIACIONES'!AV62*1.18)+('OTROS INGRESOS'!AT25*1.18)+('OTROS INGRESOS'!AT56*1.18)+('OTROS INGRESOS'!AT86*1.18))</f>
        <v>2441.2506244702681</v>
      </c>
      <c r="AV24" s="504">
        <f>$C24*$D24*(('INGRESOS AFILIACIONES'!AW62*1.18)+('OTROS INGRESOS'!AU25*1.18)+('OTROS INGRESOS'!AU56*1.18)+('OTROS INGRESOS'!AU86*1.18))</f>
        <v>2536.3121039431417</v>
      </c>
      <c r="AW24" s="504">
        <f>$C24*$D24*(('INGRESOS AFILIACIONES'!AX62*1.18)+('OTROS INGRESOS'!AV25*1.18)+('OTROS INGRESOS'!AV56*1.18)+('OTROS INGRESOS'!AV86*1.18))</f>
        <v>2731.5732466690524</v>
      </c>
      <c r="AX24" s="504">
        <f>$C24*$D24*(('INGRESOS AFILIACIONES'!AY62*1.18)+('OTROS INGRESOS'!AW25*1.18)+('OTROS INGRESOS'!AW56*1.18)+('OTROS INGRESOS'!AW86*1.18))</f>
        <v>2586.1722213928015</v>
      </c>
      <c r="AY24" s="504">
        <f>$C24*$D24*(('INGRESOS AFILIACIONES'!AZ62*1.18)+('OTROS INGRESOS'!AX25*1.18)+('OTROS INGRESOS'!AX56*1.18)+('OTROS INGRESOS'!AX86*1.18))</f>
        <v>2328.959510539361</v>
      </c>
      <c r="AZ24" s="504">
        <f>$C24*$D24*(('INGRESOS AFILIACIONES'!BA62*1.18)+('OTROS INGRESOS'!AY25*1.18)+('OTROS INGRESOS'!AY56*1.18)+('OTROS INGRESOS'!AY86*1.18))</f>
        <v>2258.4195228957337</v>
      </c>
      <c r="BA24" s="504">
        <f>$C24*$D24*(('INGRESOS AFILIACIONES'!BB62*1.18)+('OTROS INGRESOS'!AZ25*1.18)+('OTROS INGRESOS'!AZ56*1.18)+('OTROS INGRESOS'!AZ86*1.18))</f>
        <v>3270.9868228553514</v>
      </c>
      <c r="BB24" s="504">
        <f>$C24*$D24*(('INGRESOS AFILIACIONES'!BC62*1.18)+('OTROS INGRESOS'!BA25*1.18)+('OTROS INGRESOS'!BA56*1.18)+('OTROS INGRESOS'!BA86*1.18))</f>
        <v>2934.5915668073703</v>
      </c>
      <c r="BC24" s="504">
        <f>$C24*$D24*(('INGRESOS AFILIACIONES'!BD62*1.18)+('OTROS INGRESOS'!BB25*1.18)+('OTROS INGRESOS'!BB56*1.18)+('OTROS INGRESOS'!BB86*1.18))</f>
        <v>2400.7551860599115</v>
      </c>
      <c r="BD24" s="504">
        <f>$C24*$D24*(('INGRESOS AFILIACIONES'!BE62*1.18)+('OTROS INGRESOS'!BC25*1.18)+('OTROS INGRESOS'!BC56*1.18)+('OTROS INGRESOS'!BC86*1.18))</f>
        <v>2083.8797020010315</v>
      </c>
      <c r="BE24" s="504">
        <f>$C24*$D24*(('INGRESOS AFILIACIONES'!BF62*1.18)+('OTROS INGRESOS'!BD25*1.18)+('OTROS INGRESOS'!BD56*1.18)+('OTROS INGRESOS'!BD86*1.18))</f>
        <v>2028.3516175408497</v>
      </c>
      <c r="BF24" s="504">
        <f>$C24*$D24*(('INGRESOS AFILIACIONES'!BG62*1.18)+('OTROS INGRESOS'!BE25*1.18)+('OTROS INGRESOS'!BE56*1.18)+('OTROS INGRESOS'!BE86*1.18))</f>
        <v>2343.3489481676297</v>
      </c>
      <c r="BG24" s="504">
        <f>$C24*$D24*(('INGRESOS AFILIACIONES'!BH62*1.18)+('OTROS INGRESOS'!BF25*1.18)+('OTROS INGRESOS'!BF56*1.18)+('OTROS INGRESOS'!BF86*1.18))</f>
        <v>2615.5142681831871</v>
      </c>
      <c r="BH24" s="504">
        <f>$C24*$D24*(('INGRESOS AFILIACIONES'!BI62*1.18)+('OTROS INGRESOS'!BG25*1.18)+('OTROS INGRESOS'!BG56*1.18)+('OTROS INGRESOS'!BG86*1.18))</f>
        <v>2712.7735012191624</v>
      </c>
      <c r="BI24" s="504">
        <f>$C24*$D24*(('INGRESOS AFILIACIONES'!BJ62*1.18)+('OTROS INGRESOS'!BH25*1.18)+('OTROS INGRESOS'!BH56*1.18)+('OTROS INGRESOS'!BH86*1.18))</f>
        <v>2921.7029239358862</v>
      </c>
      <c r="BJ24" s="504">
        <f>$C24*$D24*(('INGRESOS AFILIACIONES'!BK62*1.18)+('OTROS INGRESOS'!BI25*1.18)+('OTROS INGRESOS'!BI56*1.18)+('OTROS INGRESOS'!BI86*1.18))</f>
        <v>2770.5803768902974</v>
      </c>
      <c r="BK24" s="504">
        <f>$C24*$D24*(('INGRESOS AFILIACIONES'!BL62*1.18)+('OTROS INGRESOS'!BJ25*1.18)+('OTROS INGRESOS'!BJ56*1.18)+('OTROS INGRESOS'!BJ86*1.18))</f>
        <v>2492.7706762771163</v>
      </c>
      <c r="BL24" s="504">
        <f>$C24*$D24*(('INGRESOS AFILIACIONES'!BM62*1.18)+('OTROS INGRESOS'!BK25*1.18)+('OTROS INGRESOS'!BK56*1.18)+('OTROS INGRESOS'!BK86*1.18))</f>
        <v>2415.8228894984359</v>
      </c>
      <c r="BM24" s="504">
        <f>$C24*$D24*(('INGRESOS AFILIACIONES'!BN62*1.18)+('OTROS INGRESOS'!BL25*1.18)+('OTROS INGRESOS'!BL56*1.18)+('OTROS INGRESOS'!BL86*1.18))</f>
        <v>3501.4675504552251</v>
      </c>
      <c r="BN24" s="504">
        <f>$C24*$D24*(('INGRESOS AFILIACIONES'!BO62*1.18)+('OTROS INGRESOS'!BM25*1.18)+('OTROS INGRESOS'!BM56*1.18)+('OTROS INGRESOS'!BM86*1.18))</f>
        <v>3138.9325264838867</v>
      </c>
      <c r="BO24" s="504">
        <f>$C24*$D24*(('INGRESOS AFILIACIONES'!BP62*1.18)+('OTROS INGRESOS'!BN25*1.18)+('OTROS INGRESOS'!BN56*1.18)+('OTROS INGRESOS'!BN86*1.18))</f>
        <v>2568.0191490841057</v>
      </c>
      <c r="BP24" s="504">
        <f>$C24*$D24*(('INGRESOS AFILIACIONES'!BQ62*1.18)+('OTROS INGRESOS'!BO25*1.18)+('OTROS INGRESOS'!BO56*1.18)+('OTROS INGRESOS'!BO86*1.18))</f>
        <v>2229.168181141104</v>
      </c>
      <c r="BQ24" s="504">
        <f>$C24*$D24*(('INGRESOS AFILIACIONES'!BR62*1.18)+('OTROS INGRESOS'!BP25*1.18)+('OTROS INGRESOS'!BP56*1.18)+('OTROS INGRESOS'!BP86*1.18))</f>
        <v>2169.7531307687091</v>
      </c>
      <c r="BR24" s="504">
        <f>$C24*$D24*(('INGRESOS AFILIACIONES'!BS62*1.18)+('OTROS INGRESOS'!BQ25*1.18)+('OTROS INGRESOS'!BQ56*1.18)+('OTROS INGRESOS'!BQ86*1.18))</f>
        <v>2508.1673745393641</v>
      </c>
      <c r="BS24" s="504">
        <f>$C24*$D24*(('INGRESOS AFILIACIONES'!BT62*1.18)+('OTROS INGRESOS'!BR25*1.18)+('OTROS INGRESOS'!BR56*1.18)+('OTROS INGRESOS'!BR86*1.18))</f>
        <v>2797.5198169560103</v>
      </c>
      <c r="BT24" s="504">
        <f>$C24*$D24*(('INGRESOS AFILIACIONES'!BU62*1.18)+('OTROS INGRESOS'!BS25*1.18)+('OTROS INGRESOS'!BS56*1.18)+('OTROS INGRESOS'!BS86*1.18))</f>
        <v>2901.5871963045038</v>
      </c>
      <c r="BU24" s="504">
        <f>$C24*$D24*(('INGRESOS AFILIACIONES'!BV62*1.18)+('OTROS INGRESOS'!BT25*1.18)+('OTROS INGRESOS'!BT56*1.18)+('OTROS INGRESOS'!BT86*1.18))</f>
        <v>3125.1416786113982</v>
      </c>
      <c r="BV24" s="504">
        <f>$C24*$D24*(('INGRESOS AFILIACIONES'!BW62*1.18)+('OTROS INGRESOS'!BU25*1.18)+('OTROS INGRESOS'!BU56*1.18)+('OTROS INGRESOS'!BU86*1.18))</f>
        <v>2963.4405532726187</v>
      </c>
      <c r="BW24" s="504">
        <f>$C24*$D24*(('INGRESOS AFILIACIONES'!BX62*1.18)+('OTROS INGRESOS'!BV25*1.18)+('OTROS INGRESOS'!BV56*1.18)+('OTROS INGRESOS'!BV86*1.18))</f>
        <v>2666.4757236165146</v>
      </c>
      <c r="BX24" s="504">
        <f>$C24*$D24*(('INGRESOS AFILIACIONES'!BY62*1.18)+('OTROS INGRESOS'!BW25*1.18)+('OTROS INGRESOS'!BW56*1.18)+('OTROS INGRESOS'!BW86*1.18))</f>
        <v>2585.7144917633259</v>
      </c>
      <c r="BY24" s="504">
        <f>$C24*$D24*(('INGRESOS AFILIACIONES'!BZ62*1.18)+('OTROS INGRESOS'!BX25*1.18)+('OTROS INGRESOS'!BX56*1.18)+('OTROS INGRESOS'!BX86*1.18))</f>
        <v>3745.1982789870917</v>
      </c>
      <c r="BZ24" s="504">
        <f>$C24*$D24*(('INGRESOS AFILIACIONES'!CA62*1.18)+('OTROS INGRESOS'!BY25*1.18)+('OTROS INGRESOS'!BY56*1.18)+('OTROS INGRESOS'!BY86*1.18))</f>
        <v>3359.0473533377594</v>
      </c>
      <c r="CA24" s="504">
        <f>$C24*$D24*(('INGRESOS AFILIACIONES'!CB62*1.18)+('OTROS INGRESOS'!BZ25*1.18)+('OTROS INGRESOS'!BZ56*1.18)+('OTROS INGRESOS'!BZ86*1.18))</f>
        <v>2751.1565895199933</v>
      </c>
      <c r="CB24" s="504">
        <f>$C24*$D24*(('INGRESOS AFILIACIONES'!CC62*1.18)+('OTROS INGRESOS'!CA25*1.18)+('OTROS INGRESOS'!CA56*1.18)+('OTROS INGRESOS'!CA86*1.18))</f>
        <v>2386.0968538209818</v>
      </c>
      <c r="CC24" s="504">
        <f>$C24*$D24*(('INGRESOS AFILIACIONES'!CD62*1.18)+('OTROS INGRESOS'!CB25*1.18)+('OTROS INGRESOS'!CB56*1.18)+('OTROS INGRESOS'!CB86*1.18))</f>
        <v>2322.5227499225189</v>
      </c>
      <c r="CD24" s="504">
        <f>$C24*$D24*(('INGRESOS AFILIACIONES'!CE62*1.18)+('OTROS INGRESOS'!CC25*1.18)+('OTROS INGRESOS'!CC56*1.18)+('OTROS INGRESOS'!CC86*1.18))</f>
        <v>2682.9501907571198</v>
      </c>
      <c r="CE24" s="504">
        <f>$C24*$D24*(('INGRESOS AFILIACIONES'!CF62*1.18)+('OTROS INGRESOS'!CD25*1.18)+('OTROS INGRESOS'!CD56*1.18)+('OTROS INGRESOS'!CD86*1.18))</f>
        <v>2992.2657541429312</v>
      </c>
      <c r="CF24" s="504">
        <f>$C24*$D24*(('INGRESOS AFILIACIONES'!CG62*1.18)+('OTROS INGRESOS'!CE25*1.18)+('OTROS INGRESOS'!CE56*1.18)+('OTROS INGRESOS'!CE86*1.18))</f>
        <v>3103.6178500458191</v>
      </c>
      <c r="CG24" s="504">
        <f>$C24*$D24*(('INGRESOS AFILIACIONES'!CH62*1.18)+('OTROS INGRESOS'!CF25*1.18)+('OTROS INGRESOS'!CF56*1.18)+('OTROS INGRESOS'!CF86*1.18))</f>
        <v>3344.2911461141971</v>
      </c>
      <c r="CH24" s="504">
        <f>$C24*$D24*(('INGRESOS AFILIACIONES'!CI62*1.18)+('OTROS INGRESOS'!CG25*1.18)+('OTROS INGRESOS'!CG56*1.18)+('OTROS INGRESOS'!CG86*1.18))</f>
        <v>3169.8009420017024</v>
      </c>
      <c r="CI24" s="504">
        <f>$C24*$D24*(('INGRESOS AFILIACIONES'!CJ62*1.18)+('OTROS INGRESOS'!CH25*1.18)+('OTROS INGRESOS'!CH56*1.18)+('OTROS INGRESOS'!CH86*1.18))</f>
        <v>2856.5051242696713</v>
      </c>
      <c r="CJ24" s="504">
        <f>$C24*$D24*(('INGRESOS AFILIACIONES'!CK62*1.18)+('OTROS INGRESOS'!CI25*1.18)+('OTROS INGRESOS'!CI56*1.18)+('OTROS INGRESOS'!CI86*1.18))</f>
        <v>2765.9256061867595</v>
      </c>
      <c r="CK24" s="504">
        <f>$C24*$D24*(('INGRESOS AFILIACIONES'!CL62*1.18)+('OTROS INGRESOS'!CJ25*1.18)+('OTROS INGRESOS'!CJ56*1.18)+('OTROS INGRESOS'!CJ86*1.18))</f>
        <v>4007.460158516189</v>
      </c>
      <c r="CL24" s="504">
        <f>$C24*$D24*(('INGRESOS AFILIACIONES'!CM62*1.18)+('OTROS INGRESOS'!CK25*1.18)+('OTROS INGRESOS'!CK56*1.18)+('OTROS INGRESOS'!CK86*1.18))</f>
        <v>3595.6923180714025</v>
      </c>
      <c r="CM24" s="504">
        <f>$C24*$D24*(('INGRESOS AFILIACIONES'!CN62*1.18)+('OTROS INGRESOS'!CL25*1.18)+('OTROS INGRESOS'!CL56*1.18)+('OTROS INGRESOS'!CL86*1.18))</f>
        <v>2942.6571007863931</v>
      </c>
      <c r="CN24" s="504">
        <f>$C24*$D24*(('INGRESOS AFILIACIONES'!CO62*1.18)+('OTROS INGRESOS'!CM25*1.18)+('OTROS INGRESOS'!CM56*1.18)+('OTROS INGRESOS'!CM86*1.18))</f>
        <v>2552.4376335884508</v>
      </c>
      <c r="CO24" s="504">
        <f>$C24*$D24*(('INGRESOS AFILIACIONES'!CP62*1.18)+('OTROS INGRESOS'!CN25*1.18)+('OTROS INGRESOS'!CN56*1.18)+('OTROS INGRESOS'!CN86*1.18))</f>
        <v>2484.4133424170959</v>
      </c>
      <c r="CP24" s="504">
        <f>$C24*$D24*(('INGRESOS AFILIACIONES'!CQ62*1.18)+('OTROS INGRESOS'!CO25*1.18)+('OTROS INGRESOS'!CO56*1.18)+('OTROS INGRESOS'!CO86*1.18))</f>
        <v>2874.1328041101178</v>
      </c>
      <c r="CQ24" s="504">
        <f>$C24*$D24*(('INGRESOS AFILIACIONES'!CR62*1.18)+('OTROS INGRESOS'!CP25*1.18)+('OTROS INGRESOS'!CP56*1.18)+('OTROS INGRESOS'!CP86*1.18))</f>
        <v>3202.1139069329361</v>
      </c>
      <c r="CR24" s="504">
        <f>$C24*$D24*(('INGRESOS AFILIACIONES'!CS62*1.18)+('OTROS INGRESOS'!CQ25*1.18)+('OTROS INGRESOS'!CQ56*1.18)+('OTROS INGRESOS'!CQ86*1.18))</f>
        <v>3321.2606495490259</v>
      </c>
      <c r="CS24" s="504">
        <f>$C24*$D24*(('INGRESOS AFILIACIONES'!CT62*1.18)+('OTROS INGRESOS'!CR25*1.18)+('OTROS INGRESOS'!CR56*1.18)+('OTROS INGRESOS'!CR86*1.18))</f>
        <v>3579.9031763421908</v>
      </c>
      <c r="CT24" s="504">
        <f>$C24*$D24*(('INGRESOS AFILIACIONES'!CU62*1.18)+('OTROS INGRESOS'!CS25*1.18)+('OTROS INGRESOS'!CS56*1.18)+('OTROS INGRESOS'!CS86*1.18))</f>
        <v>3392.0765579418212</v>
      </c>
      <c r="CU24" s="504">
        <f>$C24*$D24*(('INGRESOS AFILIACIONES'!CV62*1.18)+('OTROS INGRESOS'!CT25*1.18)+('OTROS INGRESOS'!CT56*1.18)+('OTROS INGRESOS'!CT86*1.18))</f>
        <v>3055.3800329685482</v>
      </c>
      <c r="CV24" s="504">
        <f>$C24*$D24*(('INGRESOS AFILIACIONES'!CW62*1.18)+('OTROS INGRESOS'!CU25*1.18)+('OTROS INGRESOS'!CU56*1.18)+('OTROS INGRESOS'!CU86*1.18))</f>
        <v>2962.9164986198325</v>
      </c>
      <c r="CW24" s="504">
        <f>$C24*$D24*(('INGRESOS AFILIACIONES'!CX62*1.18)+('OTROS INGRESOS'!CV25*1.18)+('OTROS INGRESOS'!CV56*1.18)+('OTROS INGRESOS'!CV86*1.18))</f>
        <v>4286.5074696123238</v>
      </c>
      <c r="CX24" s="504">
        <f>$C24*$D24*(('INGRESOS AFILIACIONES'!CY62*1.18)+('OTROS INGRESOS'!CW25*1.18)+('OTROS INGRESOS'!CW56*1.18)+('OTROS INGRESOS'!CW86*1.18))</f>
        <v>3846.0187803364001</v>
      </c>
      <c r="CY24" s="504">
        <f>$C24*$D24*(('INGRESOS AFILIACIONES'!CZ62*1.18)+('OTROS INGRESOS'!CX25*1.18)+('OTROS INGRESOS'!CX56*1.18)+('OTROS INGRESOS'!CX86*1.18))</f>
        <v>3147.5626478414406</v>
      </c>
      <c r="CZ24" s="504">
        <f>$C24*$D24*(('INGRESOS AFILIACIONES'!DA62*1.18)+('OTROS INGRESOS'!CY25*1.18)+('OTROS INGRESOS'!CY56*1.18)+('OTROS INGRESOS'!CY86*1.18))</f>
        <v>2731.8922679396419</v>
      </c>
      <c r="DA24" s="504">
        <f>$C24*$D24*(('INGRESOS AFILIACIONES'!DB62*1.18)+('OTROS INGRESOS'!CZ25*1.18)+('OTROS INGRESOS'!CZ56*1.18)+('OTROS INGRESOS'!CZ86*1.18))</f>
        <v>2659.1062763862919</v>
      </c>
      <c r="DB24" s="504">
        <f>$C24*$D24*(('INGRESOS AFILIACIONES'!DC62*1.18)+('OTROS INGRESOS'!DA25*1.18)+('OTROS INGRESOS'!DA56*1.18)+('OTROS INGRESOS'!DA86*1.18))</f>
        <v>3074.241650397827</v>
      </c>
      <c r="DC24" s="504">
        <f>$C24*$D24*(('INGRESOS AFILIACIONES'!DD62*1.18)+('OTROS INGRESOS'!DB25*1.18)+('OTROS INGRESOS'!DB56*1.18)+('OTROS INGRESOS'!DB86*1.18))</f>
        <v>3427.7735304182424</v>
      </c>
      <c r="DD24" s="504">
        <f>$C24*$D24*(('INGRESOS AFILIACIONES'!DE62*1.18)+('OTROS INGRESOS'!DC25*1.18)+('OTROS INGRESOS'!DC56*1.18)+('OTROS INGRESOS'!DC86*1.18))</f>
        <v>3555.2605450174578</v>
      </c>
      <c r="DE24" s="504">
        <f>$C24*$D24*(('INGRESOS AFILIACIONES'!DF62*1.18)+('OTROS INGRESOS'!DD25*1.18)+('OTROS INGRESOS'!DD56*1.18)+('OTROS INGRESOS'!DD86*1.18))</f>
        <v>3829.1243986861432</v>
      </c>
      <c r="DF24" s="504">
        <f>$C24*$D24*(('INGRESOS AFILIACIONES'!DG62*1.18)+('OTROS INGRESOS'!DE25*1.18)+('OTROS INGRESOS'!DE56*1.18)+('OTROS INGRESOS'!DE86*1.18))</f>
        <v>3631.0335669977489</v>
      </c>
      <c r="DG24" s="504">
        <f>$C24*$D24*(('INGRESOS AFILIACIONES'!DH62*1.18)+('OTROS INGRESOS'!DF25*1.18)+('OTROS INGRESOS'!DF56*1.18)+('OTROS INGRESOS'!DF86*1.18))</f>
        <v>3268.1761852763461</v>
      </c>
      <c r="DH24" s="504">
        <f>$C24*$D24*(('INGRESOS AFILIACIONES'!DI62*1.18)+('OTROS INGRESOS'!DG25*1.18)+('OTROS INGRESOS'!DG56*1.18)+('OTROS INGRESOS'!DG86*1.18))</f>
        <v>3169.2402035232217</v>
      </c>
      <c r="DI24" s="504">
        <f>$C24*$D24*(('INGRESOS AFILIACIONES'!DJ62*1.18)+('OTROS INGRESOS'!DH25*1.18)+('OTROS INGRESOS'!DH56*1.18)+('OTROS INGRESOS'!DH86*1.18))</f>
        <v>4590.7230924851847</v>
      </c>
      <c r="DJ24" s="504">
        <f>$C24*$D24*(('INGRESOS AFILIACIONES'!DK62*1.18)+('OTROS INGRESOS'!DI25*1.18)+('OTROS INGRESOS'!DI56*1.18)+('OTROS INGRESOS'!DI86*1.18))</f>
        <v>4115.3380949599477</v>
      </c>
      <c r="DK24" s="504">
        <f>$C24*$D24*(('INGRESOS AFILIACIONES'!DL62*1.18)+('OTROS INGRESOS'!DJ25*1.18)+('OTROS INGRESOS'!DJ56*1.18)+('OTROS INGRESOS'!DJ86*1.18))</f>
        <v>3368.2815831903417</v>
      </c>
      <c r="DL24" s="504">
        <f>$C24*$D24*(('INGRESOS AFILIACIONES'!DM62*1.18)+('OTROS INGRESOS'!DK25*1.18)+('OTROS INGRESOS'!DK56*1.18)+('OTROS INGRESOS'!DK86*1.18))</f>
        <v>2922.3358266954169</v>
      </c>
      <c r="DM24" s="504">
        <f>$C24*$D24*(('INGRESOS AFILIACIONES'!DN62*1.18)+('OTROS INGRESOS'!DL25*1.18)+('OTROS INGRESOS'!DL56*1.18)+('OTROS INGRESOS'!DL86*1.18))</f>
        <v>2844.4548157333325</v>
      </c>
      <c r="DN24" s="504">
        <f>$C24*$D24*(('INGRESOS AFILIACIONES'!DO62*1.18)+('OTROS INGRESOS'!DM25*1.18)+('OTROS INGRESOS'!DM56*1.18)+('OTROS INGRESOS'!DM86*1.18))</f>
        <v>3288.3581159256751</v>
      </c>
      <c r="DO24" s="504">
        <f>$C24*$D24*(('INGRESOS AFILIACIONES'!DP62*1.18)+('OTROS INGRESOS'!DN25*1.18)+('OTROS INGRESOS'!DN56*1.18)+('OTROS INGRESOS'!DN86*1.18))</f>
        <v>3666.3456775475188</v>
      </c>
      <c r="DP24" s="504">
        <f>$C24*$D24*(('INGRESOS AFILIACIONES'!DQ62*1.18)+('OTROS INGRESOS'!DO25*1.18)+('OTROS INGRESOS'!DO56*1.18)+('OTROS INGRESOS'!DO86*1.18))</f>
        <v>3804.2267831686804</v>
      </c>
      <c r="DQ24" s="504">
        <f>$C24*$D24*(('INGRESOS AFILIACIONES'!DR62*1.18)+('OTROS INGRESOS'!DP25*1.18)+('OTROS INGRESOS'!DP56*1.18)+('OTROS INGRESOS'!DP86*1.18))</f>
        <v>4097.2611065941746</v>
      </c>
      <c r="DR24" s="504">
        <f>$C24*$D24*(('INGRESOS AFILIACIONES'!DS62*1.18)+('OTROS INGRESOS'!DQ25*1.18)+('OTROS INGRESOS'!DQ56*1.18)+('OTROS INGRESOS'!DQ86*1.18))</f>
        <v>3883.8339166875912</v>
      </c>
      <c r="DS24" s="504">
        <f>$C24*$D24*(('INGRESOS AFILIACIONES'!DT62*1.18)+('OTROS INGRESOS'!DR25*1.18)+('OTROS INGRESOS'!DR56*1.18)+('OTROS INGRESOS'!DR86*1.18))</f>
        <v>3497.3380682456905</v>
      </c>
      <c r="DT24" s="504">
        <f>$C24*$D24*(('INGRESOS AFILIACIONES'!DU62*1.18)+('OTROS INGRESOS'!DS25*1.18)+('OTROS INGRESOS'!DS56*1.18)+('OTROS INGRESOS'!DS86*1.18))</f>
        <v>3390.0065677698462</v>
      </c>
    </row>
    <row r="25" spans="2:136" x14ac:dyDescent="0.25">
      <c r="B25" s="776" t="s">
        <v>145</v>
      </c>
      <c r="C25" s="777"/>
      <c r="D25" s="778"/>
      <c r="E25" s="505">
        <f>SUM(E23:E24)</f>
        <v>2336.0241813551938</v>
      </c>
      <c r="F25" s="505">
        <f t="shared" ref="F25:BQ25" si="2">SUM(F23:F24)</f>
        <v>2840.7066510499203</v>
      </c>
      <c r="G25" s="505">
        <f t="shared" si="2"/>
        <v>3290.190616774209</v>
      </c>
      <c r="H25" s="505">
        <f t="shared" si="2"/>
        <v>2752.757401739259</v>
      </c>
      <c r="I25" s="505">
        <f t="shared" si="2"/>
        <v>2851.7376586528403</v>
      </c>
      <c r="J25" s="505">
        <f t="shared" si="2"/>
        <v>3620.6124176440399</v>
      </c>
      <c r="K25" s="505">
        <f t="shared" si="2"/>
        <v>3752.4655526938359</v>
      </c>
      <c r="L25" s="505">
        <f t="shared" si="2"/>
        <v>3971.0907604736431</v>
      </c>
      <c r="M25" s="505">
        <f t="shared" si="2"/>
        <v>4121.2931337137888</v>
      </c>
      <c r="N25" s="505">
        <f t="shared" si="2"/>
        <v>3950.3341413973449</v>
      </c>
      <c r="O25" s="505">
        <f t="shared" si="2"/>
        <v>3844.8153230031899</v>
      </c>
      <c r="P25" s="505">
        <f t="shared" si="2"/>
        <v>3491.1172680150166</v>
      </c>
      <c r="Q25" s="505">
        <f t="shared" si="2"/>
        <v>4833.7724588060009</v>
      </c>
      <c r="R25" s="505">
        <f t="shared" si="2"/>
        <v>4384.2740306199194</v>
      </c>
      <c r="S25" s="505">
        <f t="shared" si="2"/>
        <v>3557.9600869253363</v>
      </c>
      <c r="T25" s="505">
        <f t="shared" si="2"/>
        <v>3059.8232672247877</v>
      </c>
      <c r="U25" s="505">
        <f t="shared" si="2"/>
        <v>2978.2338438099951</v>
      </c>
      <c r="V25" s="505">
        <f t="shared" si="2"/>
        <v>3443.7618936182089</v>
      </c>
      <c r="W25" s="505">
        <f t="shared" si="2"/>
        <v>3838.0305354585389</v>
      </c>
      <c r="X25" s="505">
        <f t="shared" si="2"/>
        <v>3980.9370452420762</v>
      </c>
      <c r="Y25" s="505">
        <f t="shared" si="2"/>
        <v>4290.5706047727253</v>
      </c>
      <c r="Z25" s="505">
        <f t="shared" si="2"/>
        <v>4065.8747790261514</v>
      </c>
      <c r="AA25" s="505">
        <f t="shared" si="2"/>
        <v>3661.1527203868009</v>
      </c>
      <c r="AB25" s="505">
        <f t="shared" si="2"/>
        <v>3550.2504776070577</v>
      </c>
      <c r="AC25" s="505">
        <f t="shared" si="2"/>
        <v>5143.8169602931521</v>
      </c>
      <c r="AD25" s="505">
        <f t="shared" si="2"/>
        <v>4609.753918816722</v>
      </c>
      <c r="AE25" s="505">
        <f t="shared" si="2"/>
        <v>3774.3640238517251</v>
      </c>
      <c r="AF25" s="505">
        <f t="shared" si="2"/>
        <v>3273.3008859305237</v>
      </c>
      <c r="AG25" s="505">
        <f t="shared" si="2"/>
        <v>3186.0002028766953</v>
      </c>
      <c r="AH25" s="505">
        <f t="shared" si="2"/>
        <v>3686.4216461714846</v>
      </c>
      <c r="AI25" s="505">
        <f t="shared" si="2"/>
        <v>4108.1038729406373</v>
      </c>
      <c r="AJ25" s="505">
        <f t="shared" si="2"/>
        <v>4261.0138384090224</v>
      </c>
      <c r="AK25" s="505">
        <f t="shared" si="2"/>
        <v>4589.4905271068155</v>
      </c>
      <c r="AL25" s="505">
        <f t="shared" si="2"/>
        <v>4351.8972135579825</v>
      </c>
      <c r="AM25" s="505">
        <f t="shared" si="2"/>
        <v>3919.0298308138777</v>
      </c>
      <c r="AN25" s="505">
        <f t="shared" si="2"/>
        <v>3797.7184310395514</v>
      </c>
      <c r="AO25" s="505">
        <f t="shared" si="2"/>
        <v>5501.9393375136742</v>
      </c>
      <c r="AP25" s="505">
        <f t="shared" si="2"/>
        <v>4938.5136731338935</v>
      </c>
      <c r="AQ25" s="505">
        <f t="shared" si="2"/>
        <v>4037.3347055213462</v>
      </c>
      <c r="AR25" s="505">
        <f t="shared" si="2"/>
        <v>3501.721937945661</v>
      </c>
      <c r="AS25" s="505">
        <f t="shared" si="2"/>
        <v>3408.3102070780642</v>
      </c>
      <c r="AT25" s="505">
        <f t="shared" si="2"/>
        <v>3943.2363614034884</v>
      </c>
      <c r="AU25" s="505">
        <f t="shared" si="2"/>
        <v>4394.2511240464828</v>
      </c>
      <c r="AV25" s="505">
        <f t="shared" si="2"/>
        <v>4565.361787097655</v>
      </c>
      <c r="AW25" s="505">
        <f t="shared" si="2"/>
        <v>4916.831844004294</v>
      </c>
      <c r="AX25" s="505">
        <f t="shared" si="2"/>
        <v>4655.1099985070432</v>
      </c>
      <c r="AY25" s="505">
        <f t="shared" si="2"/>
        <v>4192.1271189708496</v>
      </c>
      <c r="AZ25" s="505">
        <f t="shared" si="2"/>
        <v>4065.1551412123208</v>
      </c>
      <c r="BA25" s="505">
        <f t="shared" si="2"/>
        <v>5887.7762811396324</v>
      </c>
      <c r="BB25" s="505">
        <f t="shared" si="2"/>
        <v>5282.2648202532664</v>
      </c>
      <c r="BC25" s="505">
        <f t="shared" si="2"/>
        <v>4321.3593349078401</v>
      </c>
      <c r="BD25" s="505">
        <f t="shared" si="2"/>
        <v>3750.9834636018568</v>
      </c>
      <c r="BE25" s="505">
        <f t="shared" si="2"/>
        <v>3651.0329115735294</v>
      </c>
      <c r="BF25" s="505">
        <f t="shared" si="2"/>
        <v>4218.0281067017331</v>
      </c>
      <c r="BG25" s="505">
        <f t="shared" si="2"/>
        <v>4707.9256827297368</v>
      </c>
      <c r="BH25" s="505">
        <f t="shared" si="2"/>
        <v>4882.9923021944924</v>
      </c>
      <c r="BI25" s="505">
        <f t="shared" si="2"/>
        <v>5259.0652630845943</v>
      </c>
      <c r="BJ25" s="505">
        <f t="shared" si="2"/>
        <v>4987.0446784025353</v>
      </c>
      <c r="BK25" s="505">
        <f t="shared" si="2"/>
        <v>4486.9872172988089</v>
      </c>
      <c r="BL25" s="505">
        <f t="shared" si="2"/>
        <v>4348.4812010971846</v>
      </c>
      <c r="BM25" s="505">
        <f t="shared" si="2"/>
        <v>6302.6415908194049</v>
      </c>
      <c r="BN25" s="505">
        <f t="shared" si="2"/>
        <v>5650.0785476709962</v>
      </c>
      <c r="BO25" s="505">
        <f t="shared" si="2"/>
        <v>4622.43446835139</v>
      </c>
      <c r="BP25" s="505">
        <f t="shared" si="2"/>
        <v>4012.5027260539873</v>
      </c>
      <c r="BQ25" s="505">
        <f t="shared" si="2"/>
        <v>3905.5556353836764</v>
      </c>
      <c r="BR25" s="505">
        <f t="shared" ref="BR25:DT25" si="3">SUM(BR23:BR24)</f>
        <v>4514.701274170855</v>
      </c>
      <c r="BS25" s="505">
        <f t="shared" si="3"/>
        <v>5035.5356705208187</v>
      </c>
      <c r="BT25" s="505">
        <f t="shared" si="3"/>
        <v>5222.8569533481059</v>
      </c>
      <c r="BU25" s="505">
        <f t="shared" si="3"/>
        <v>5625.2550215005167</v>
      </c>
      <c r="BV25" s="505">
        <f t="shared" si="3"/>
        <v>5334.1929958907131</v>
      </c>
      <c r="BW25" s="505">
        <f t="shared" si="3"/>
        <v>4799.6563025097257</v>
      </c>
      <c r="BX25" s="505">
        <f t="shared" si="3"/>
        <v>4654.2860851739861</v>
      </c>
      <c r="BY25" s="505">
        <f t="shared" si="3"/>
        <v>6741.3569021767653</v>
      </c>
      <c r="BZ25" s="505">
        <f t="shared" si="3"/>
        <v>6046.2852360079669</v>
      </c>
      <c r="CA25" s="505">
        <f t="shared" si="3"/>
        <v>4952.0818611359882</v>
      </c>
      <c r="CB25" s="505">
        <f t="shared" si="3"/>
        <v>4294.9743368777672</v>
      </c>
      <c r="CC25" s="505">
        <f t="shared" si="3"/>
        <v>4180.5409498605341</v>
      </c>
      <c r="CD25" s="505">
        <f t="shared" si="3"/>
        <v>4829.3103433628157</v>
      </c>
      <c r="CE25" s="505">
        <f t="shared" si="3"/>
        <v>5386.0783574572761</v>
      </c>
      <c r="CF25" s="505">
        <f t="shared" si="3"/>
        <v>5586.512130082474</v>
      </c>
      <c r="CG25" s="505">
        <f t="shared" si="3"/>
        <v>6019.7240630055549</v>
      </c>
      <c r="CH25" s="505">
        <f t="shared" si="3"/>
        <v>5705.6416956030644</v>
      </c>
      <c r="CI25" s="505">
        <f t="shared" si="3"/>
        <v>5141.7092236854078</v>
      </c>
      <c r="CJ25" s="505">
        <f t="shared" si="3"/>
        <v>4978.6660911361669</v>
      </c>
      <c r="CK25" s="505">
        <f t="shared" si="3"/>
        <v>7213.4282853291406</v>
      </c>
      <c r="CL25" s="505">
        <f t="shared" si="3"/>
        <v>6472.2461725285248</v>
      </c>
      <c r="CM25" s="505">
        <f t="shared" si="3"/>
        <v>5296.782781415508</v>
      </c>
      <c r="CN25" s="505">
        <f t="shared" si="3"/>
        <v>4594.3877404592113</v>
      </c>
      <c r="CO25" s="505">
        <f t="shared" si="3"/>
        <v>4471.9440163507725</v>
      </c>
      <c r="CP25" s="505">
        <f t="shared" si="3"/>
        <v>5173.4390473982121</v>
      </c>
      <c r="CQ25" s="505">
        <f t="shared" si="3"/>
        <v>5763.8050324792848</v>
      </c>
      <c r="CR25" s="505">
        <f t="shared" si="3"/>
        <v>5978.2691691882465</v>
      </c>
      <c r="CS25" s="505">
        <f t="shared" si="3"/>
        <v>6443.8257174159426</v>
      </c>
      <c r="CT25" s="505">
        <f t="shared" si="3"/>
        <v>6105.7378042952778</v>
      </c>
      <c r="CU25" s="505">
        <f t="shared" si="3"/>
        <v>5499.6840593433863</v>
      </c>
      <c r="CV25" s="505">
        <f t="shared" si="3"/>
        <v>5333.2496975156982</v>
      </c>
      <c r="CW25" s="505">
        <f t="shared" si="3"/>
        <v>7715.7134453021827</v>
      </c>
      <c r="CX25" s="505">
        <f t="shared" si="3"/>
        <v>6922.8338046055196</v>
      </c>
      <c r="CY25" s="505">
        <f t="shared" si="3"/>
        <v>5665.6127661145929</v>
      </c>
      <c r="CZ25" s="505">
        <f t="shared" si="3"/>
        <v>4917.4060822913552</v>
      </c>
      <c r="DA25" s="505">
        <f t="shared" si="3"/>
        <v>4786.3912974953255</v>
      </c>
      <c r="DB25" s="505">
        <f t="shared" si="3"/>
        <v>5533.634970716088</v>
      </c>
      <c r="DC25" s="505">
        <f t="shared" si="3"/>
        <v>6169.992354752836</v>
      </c>
      <c r="DD25" s="505">
        <f t="shared" si="3"/>
        <v>6399.4689810314239</v>
      </c>
      <c r="DE25" s="505">
        <f t="shared" si="3"/>
        <v>6892.4239176350575</v>
      </c>
      <c r="DF25" s="505">
        <f t="shared" si="3"/>
        <v>6535.8604205959473</v>
      </c>
      <c r="DG25" s="505">
        <f t="shared" si="3"/>
        <v>5882.7171334974228</v>
      </c>
      <c r="DH25" s="505">
        <f t="shared" si="3"/>
        <v>5704.6323663417988</v>
      </c>
      <c r="DI25" s="505">
        <f t="shared" si="3"/>
        <v>8263.3015664733321</v>
      </c>
      <c r="DJ25" s="505">
        <f t="shared" si="3"/>
        <v>7407.608570927905</v>
      </c>
      <c r="DK25" s="505">
        <f t="shared" si="3"/>
        <v>6062.9068497426142</v>
      </c>
      <c r="DL25" s="505">
        <f t="shared" si="3"/>
        <v>5260.2044880517506</v>
      </c>
      <c r="DM25" s="505">
        <f t="shared" si="3"/>
        <v>5120.0186683199981</v>
      </c>
      <c r="DN25" s="505">
        <f t="shared" si="3"/>
        <v>5919.044608666215</v>
      </c>
      <c r="DO25" s="505">
        <f t="shared" si="3"/>
        <v>6599.4222195855336</v>
      </c>
      <c r="DP25" s="505">
        <f t="shared" si="3"/>
        <v>6847.6082097036251</v>
      </c>
      <c r="DQ25" s="505">
        <f t="shared" si="3"/>
        <v>7375.0699918695136</v>
      </c>
      <c r="DR25" s="505">
        <f t="shared" si="3"/>
        <v>6990.9010500376644</v>
      </c>
      <c r="DS25" s="505">
        <f t="shared" si="3"/>
        <v>6295.2085228422429</v>
      </c>
      <c r="DT25" s="505">
        <f t="shared" si="3"/>
        <v>6102.0118219857231</v>
      </c>
    </row>
    <row r="26" spans="2:136" x14ac:dyDescent="0.25">
      <c r="B26" s="776" t="s">
        <v>133</v>
      </c>
      <c r="C26" s="777"/>
      <c r="D26" s="778"/>
      <c r="E26" s="505">
        <f>E25/1.18</f>
        <v>1979.6815096230457</v>
      </c>
      <c r="F26" s="505">
        <f t="shared" ref="F26:BQ26" si="4">F25/1.18</f>
        <v>2407.3785178389157</v>
      </c>
      <c r="G26" s="505">
        <f t="shared" si="4"/>
        <v>2788.2971328594995</v>
      </c>
      <c r="H26" s="505">
        <f t="shared" si="4"/>
        <v>2332.8452557112364</v>
      </c>
      <c r="I26" s="505">
        <f t="shared" si="4"/>
        <v>2416.7268293668139</v>
      </c>
      <c r="J26" s="505">
        <f t="shared" si="4"/>
        <v>3068.3156081729153</v>
      </c>
      <c r="K26" s="505">
        <f t="shared" si="4"/>
        <v>3180.0555531303694</v>
      </c>
      <c r="L26" s="505">
        <f t="shared" si="4"/>
        <v>3365.3311529437656</v>
      </c>
      <c r="M26" s="505">
        <f t="shared" si="4"/>
        <v>3492.6212997574485</v>
      </c>
      <c r="N26" s="505">
        <f t="shared" si="4"/>
        <v>3347.7407977943603</v>
      </c>
      <c r="O26" s="505">
        <f t="shared" si="4"/>
        <v>3258.3180703416865</v>
      </c>
      <c r="P26" s="505">
        <f t="shared" si="4"/>
        <v>2958.5739559449294</v>
      </c>
      <c r="Q26" s="505">
        <f t="shared" si="4"/>
        <v>4096.4173379711874</v>
      </c>
      <c r="R26" s="505">
        <f t="shared" si="4"/>
        <v>3715.4864666270505</v>
      </c>
      <c r="S26" s="505">
        <f t="shared" si="4"/>
        <v>3015.2204126485904</v>
      </c>
      <c r="T26" s="505">
        <f t="shared" si="4"/>
        <v>2593.0705654447356</v>
      </c>
      <c r="U26" s="505">
        <f t="shared" si="4"/>
        <v>2523.9269862796568</v>
      </c>
      <c r="V26" s="505">
        <f t="shared" si="4"/>
        <v>2918.4422827272956</v>
      </c>
      <c r="W26" s="505">
        <f t="shared" si="4"/>
        <v>3252.5682503885923</v>
      </c>
      <c r="X26" s="505">
        <f t="shared" si="4"/>
        <v>3373.6754620695565</v>
      </c>
      <c r="Y26" s="505">
        <f t="shared" si="4"/>
        <v>3636.0767837056997</v>
      </c>
      <c r="Z26" s="505">
        <f t="shared" si="4"/>
        <v>3445.6565923950438</v>
      </c>
      <c r="AA26" s="505">
        <f t="shared" si="4"/>
        <v>3102.671796937967</v>
      </c>
      <c r="AB26" s="505">
        <f t="shared" si="4"/>
        <v>3008.68684542971</v>
      </c>
      <c r="AC26" s="505">
        <f t="shared" si="4"/>
        <v>4359.1669155026711</v>
      </c>
      <c r="AD26" s="505">
        <f t="shared" si="4"/>
        <v>3906.5711176412901</v>
      </c>
      <c r="AE26" s="505">
        <f t="shared" si="4"/>
        <v>3198.6135795353603</v>
      </c>
      <c r="AF26" s="505">
        <f t="shared" si="4"/>
        <v>2773.9838016360372</v>
      </c>
      <c r="AG26" s="505">
        <f t="shared" si="4"/>
        <v>2700.0001719294028</v>
      </c>
      <c r="AH26" s="505">
        <f t="shared" si="4"/>
        <v>3124.0861408232922</v>
      </c>
      <c r="AI26" s="505">
        <f t="shared" si="4"/>
        <v>3481.4439601191843</v>
      </c>
      <c r="AJ26" s="505">
        <f t="shared" si="4"/>
        <v>3611.0286766178156</v>
      </c>
      <c r="AK26" s="505">
        <f t="shared" si="4"/>
        <v>3889.3987517854371</v>
      </c>
      <c r="AL26" s="505">
        <f t="shared" si="4"/>
        <v>3688.0484860660872</v>
      </c>
      <c r="AM26" s="505">
        <f t="shared" si="4"/>
        <v>3321.2117210287101</v>
      </c>
      <c r="AN26" s="505">
        <f t="shared" si="4"/>
        <v>3218.4054500335183</v>
      </c>
      <c r="AO26" s="505">
        <f t="shared" si="4"/>
        <v>4662.6604555200629</v>
      </c>
      <c r="AP26" s="505">
        <f t="shared" si="4"/>
        <v>4185.1810789270285</v>
      </c>
      <c r="AQ26" s="505">
        <f t="shared" si="4"/>
        <v>3421.4700894248699</v>
      </c>
      <c r="AR26" s="505">
        <f t="shared" si="4"/>
        <v>2967.5609643607299</v>
      </c>
      <c r="AS26" s="505">
        <f t="shared" si="4"/>
        <v>2888.3984805746309</v>
      </c>
      <c r="AT26" s="505">
        <f t="shared" si="4"/>
        <v>3341.7257300029564</v>
      </c>
      <c r="AU26" s="505">
        <f t="shared" si="4"/>
        <v>3723.9416305478671</v>
      </c>
      <c r="AV26" s="505">
        <f t="shared" si="4"/>
        <v>3868.9506670319111</v>
      </c>
      <c r="AW26" s="505">
        <f t="shared" si="4"/>
        <v>4166.806647461266</v>
      </c>
      <c r="AX26" s="505">
        <f t="shared" si="4"/>
        <v>3945.0084733110539</v>
      </c>
      <c r="AY26" s="505">
        <f t="shared" si="4"/>
        <v>3552.6501008227542</v>
      </c>
      <c r="AZ26" s="505">
        <f t="shared" si="4"/>
        <v>3445.0467298409499</v>
      </c>
      <c r="BA26" s="505">
        <f t="shared" si="4"/>
        <v>4989.640916220028</v>
      </c>
      <c r="BB26" s="505">
        <f t="shared" si="4"/>
        <v>4476.4956103841241</v>
      </c>
      <c r="BC26" s="505">
        <f t="shared" si="4"/>
        <v>3662.1689278880003</v>
      </c>
      <c r="BD26" s="505">
        <f t="shared" si="4"/>
        <v>3178.7995454253023</v>
      </c>
      <c r="BE26" s="505">
        <f t="shared" si="4"/>
        <v>3094.0956877741778</v>
      </c>
      <c r="BF26" s="505">
        <f t="shared" si="4"/>
        <v>3574.6000904251978</v>
      </c>
      <c r="BG26" s="505">
        <f t="shared" si="4"/>
        <v>3989.7675277370654</v>
      </c>
      <c r="BH26" s="505">
        <f t="shared" si="4"/>
        <v>4138.1290696563501</v>
      </c>
      <c r="BI26" s="505">
        <f t="shared" si="4"/>
        <v>4456.8349687157579</v>
      </c>
      <c r="BJ26" s="505">
        <f t="shared" si="4"/>
        <v>4226.3090494936741</v>
      </c>
      <c r="BK26" s="505">
        <f t="shared" si="4"/>
        <v>3802.5315400837367</v>
      </c>
      <c r="BL26" s="505">
        <f t="shared" si="4"/>
        <v>3685.1535602518516</v>
      </c>
      <c r="BM26" s="505">
        <f t="shared" si="4"/>
        <v>5341.2216871350893</v>
      </c>
      <c r="BN26" s="505">
        <f t="shared" si="4"/>
        <v>4788.2021590432178</v>
      </c>
      <c r="BO26" s="505">
        <f t="shared" si="4"/>
        <v>3917.3173460605003</v>
      </c>
      <c r="BP26" s="505">
        <f t="shared" si="4"/>
        <v>3400.4260390288032</v>
      </c>
      <c r="BQ26" s="505">
        <f t="shared" si="4"/>
        <v>3309.7929113420987</v>
      </c>
      <c r="BR26" s="505">
        <f t="shared" ref="BR26:DT26" si="5">BR25/1.18</f>
        <v>3826.0180289583518</v>
      </c>
      <c r="BS26" s="505">
        <f t="shared" si="5"/>
        <v>4267.4031106108632</v>
      </c>
      <c r="BT26" s="505">
        <f t="shared" si="5"/>
        <v>4426.1499604644969</v>
      </c>
      <c r="BU26" s="505">
        <f t="shared" si="5"/>
        <v>4767.1652724580654</v>
      </c>
      <c r="BV26" s="505">
        <f t="shared" si="5"/>
        <v>4520.5025388904351</v>
      </c>
      <c r="BW26" s="505">
        <f t="shared" si="5"/>
        <v>4067.5053411099375</v>
      </c>
      <c r="BX26" s="505">
        <f t="shared" si="5"/>
        <v>3944.3102416728698</v>
      </c>
      <c r="BY26" s="505">
        <f t="shared" si="5"/>
        <v>5713.014323878615</v>
      </c>
      <c r="BZ26" s="505">
        <f t="shared" si="5"/>
        <v>5123.9705389898027</v>
      </c>
      <c r="CA26" s="505">
        <f t="shared" si="5"/>
        <v>4196.6795433355837</v>
      </c>
      <c r="CB26" s="505">
        <f t="shared" si="5"/>
        <v>3639.8087600659046</v>
      </c>
      <c r="CC26" s="505">
        <f t="shared" si="5"/>
        <v>3542.8313134411305</v>
      </c>
      <c r="CD26" s="505">
        <f t="shared" si="5"/>
        <v>4092.6358842057762</v>
      </c>
      <c r="CE26" s="505">
        <f t="shared" si="5"/>
        <v>4564.4731842858273</v>
      </c>
      <c r="CF26" s="505">
        <f t="shared" si="5"/>
        <v>4734.3323136292156</v>
      </c>
      <c r="CG26" s="505">
        <f t="shared" si="5"/>
        <v>5101.4610703436911</v>
      </c>
      <c r="CH26" s="505">
        <f t="shared" si="5"/>
        <v>4835.2895725449698</v>
      </c>
      <c r="CI26" s="505">
        <f t="shared" si="5"/>
        <v>4357.3806980384816</v>
      </c>
      <c r="CJ26" s="505">
        <f t="shared" si="5"/>
        <v>4219.2085518103113</v>
      </c>
      <c r="CK26" s="505">
        <f t="shared" si="5"/>
        <v>6113.0748180755436</v>
      </c>
      <c r="CL26" s="505">
        <f t="shared" si="5"/>
        <v>5484.9543834987498</v>
      </c>
      <c r="CM26" s="505">
        <f t="shared" si="5"/>
        <v>4488.798967301278</v>
      </c>
      <c r="CN26" s="505">
        <f t="shared" si="5"/>
        <v>3893.5489325925523</v>
      </c>
      <c r="CO26" s="505">
        <f t="shared" si="5"/>
        <v>3789.7830647040446</v>
      </c>
      <c r="CP26" s="505">
        <f t="shared" si="5"/>
        <v>4384.2703791510276</v>
      </c>
      <c r="CQ26" s="505">
        <f t="shared" si="5"/>
        <v>4884.5805359993938</v>
      </c>
      <c r="CR26" s="505">
        <f t="shared" si="5"/>
        <v>5066.3298043968189</v>
      </c>
      <c r="CS26" s="505">
        <f t="shared" si="5"/>
        <v>5460.8692520474096</v>
      </c>
      <c r="CT26" s="505">
        <f t="shared" si="5"/>
        <v>5174.3540714366763</v>
      </c>
      <c r="CU26" s="505">
        <f t="shared" si="5"/>
        <v>4660.7492028333781</v>
      </c>
      <c r="CV26" s="505">
        <f t="shared" si="5"/>
        <v>4519.7031334878802</v>
      </c>
      <c r="CW26" s="505">
        <f t="shared" si="5"/>
        <v>6538.7402078832056</v>
      </c>
      <c r="CX26" s="505">
        <f t="shared" si="5"/>
        <v>5866.8083089877291</v>
      </c>
      <c r="CY26" s="505">
        <f t="shared" si="5"/>
        <v>4801.3667509445704</v>
      </c>
      <c r="CZ26" s="505">
        <f t="shared" si="5"/>
        <v>4167.2932900774204</v>
      </c>
      <c r="DA26" s="505">
        <f t="shared" si="5"/>
        <v>4056.2638114367169</v>
      </c>
      <c r="DB26" s="505">
        <f t="shared" si="5"/>
        <v>4689.5211616238039</v>
      </c>
      <c r="DC26" s="505">
        <f t="shared" si="5"/>
        <v>5228.8070802990142</v>
      </c>
      <c r="DD26" s="505">
        <f t="shared" si="5"/>
        <v>5423.2787974842577</v>
      </c>
      <c r="DE26" s="505">
        <f t="shared" si="5"/>
        <v>5841.0372183347945</v>
      </c>
      <c r="DF26" s="505">
        <f t="shared" si="5"/>
        <v>5538.864763216905</v>
      </c>
      <c r="DG26" s="505">
        <f t="shared" si="5"/>
        <v>4985.3535029639179</v>
      </c>
      <c r="DH26" s="505">
        <f t="shared" si="5"/>
        <v>4834.4342087642362</v>
      </c>
      <c r="DI26" s="505">
        <f t="shared" si="5"/>
        <v>7002.7979376892645</v>
      </c>
      <c r="DJ26" s="505">
        <f t="shared" si="5"/>
        <v>6277.6343821422925</v>
      </c>
      <c r="DK26" s="505">
        <f t="shared" si="5"/>
        <v>5138.0566523242496</v>
      </c>
      <c r="DL26" s="505">
        <f t="shared" si="5"/>
        <v>4457.8004136031786</v>
      </c>
      <c r="DM26" s="505">
        <f t="shared" si="5"/>
        <v>4338.9988714576257</v>
      </c>
      <c r="DN26" s="505">
        <f t="shared" si="5"/>
        <v>5016.1394988696738</v>
      </c>
      <c r="DO26" s="505">
        <f t="shared" si="5"/>
        <v>5592.7306945640121</v>
      </c>
      <c r="DP26" s="505">
        <f t="shared" si="5"/>
        <v>5803.057804833581</v>
      </c>
      <c r="DQ26" s="505">
        <f t="shared" si="5"/>
        <v>6250.059315143656</v>
      </c>
      <c r="DR26" s="505">
        <f t="shared" si="5"/>
        <v>5924.4924152861568</v>
      </c>
      <c r="DS26" s="505">
        <f t="shared" si="5"/>
        <v>5334.9224769849516</v>
      </c>
      <c r="DT26" s="505">
        <f t="shared" si="5"/>
        <v>5171.1964593099356</v>
      </c>
    </row>
    <row r="27" spans="2:136" x14ac:dyDescent="0.25">
      <c r="B27" s="506"/>
      <c r="C27" s="506"/>
      <c r="D27" s="506"/>
      <c r="E27" s="507"/>
      <c r="F27" s="507"/>
      <c r="G27" s="507"/>
      <c r="H27" s="507"/>
      <c r="I27" s="507"/>
      <c r="J27" s="507"/>
      <c r="K27" s="507"/>
      <c r="L27" s="507"/>
      <c r="M27" s="507"/>
      <c r="N27" s="507"/>
      <c r="O27" s="507"/>
      <c r="P27" s="507"/>
    </row>
    <row r="28" spans="2:136" x14ac:dyDescent="0.25">
      <c r="B28" s="776" t="s">
        <v>146</v>
      </c>
      <c r="C28" s="777"/>
      <c r="D28" s="778"/>
      <c r="E28" s="300" t="s">
        <v>38</v>
      </c>
      <c r="F28" s="300" t="s">
        <v>40</v>
      </c>
      <c r="G28" s="300" t="s">
        <v>41</v>
      </c>
      <c r="H28" s="300" t="s">
        <v>42</v>
      </c>
      <c r="I28" s="300" t="s">
        <v>43</v>
      </c>
      <c r="J28" s="300" t="s">
        <v>44</v>
      </c>
      <c r="K28" s="300" t="s">
        <v>45</v>
      </c>
      <c r="L28" s="300" t="s">
        <v>46</v>
      </c>
      <c r="M28" s="300" t="s">
        <v>47</v>
      </c>
      <c r="N28" s="300" t="s">
        <v>48</v>
      </c>
      <c r="O28" s="507"/>
      <c r="P28" s="507"/>
    </row>
    <row r="29" spans="2:136" x14ac:dyDescent="0.25">
      <c r="B29" s="776" t="s">
        <v>491</v>
      </c>
      <c r="C29" s="777"/>
      <c r="D29" s="778"/>
      <c r="E29" s="508">
        <f>SUM(E25:P25)</f>
        <v>40823.145106512282</v>
      </c>
      <c r="F29" s="508">
        <f>SUM(Q25:AB25)</f>
        <v>45644.641743497603</v>
      </c>
      <c r="G29" s="508">
        <f>SUM(AC25:AN25)</f>
        <v>48700.911351808194</v>
      </c>
      <c r="H29" s="508">
        <f>SUM(AO25:AZ25)</f>
        <v>52119.893236434771</v>
      </c>
      <c r="I29" s="508">
        <f>SUM(BA25:BL25)</f>
        <v>55783.941262985216</v>
      </c>
      <c r="J29" s="508">
        <f>SUM(BM25:BX25)</f>
        <v>59679.69727139418</v>
      </c>
      <c r="K29" s="508">
        <f>SUM(BY25:CJ25)</f>
        <v>63862.881190391781</v>
      </c>
      <c r="L29" s="508">
        <f>SUM(CK25:CV25)</f>
        <v>68346.799523719208</v>
      </c>
      <c r="M29" s="508">
        <f>SUM(CW25:DH25)</f>
        <v>73126.687540379557</v>
      </c>
      <c r="N29" s="508">
        <f>SUM(DI25:DT25)</f>
        <v>78243.306568206113</v>
      </c>
      <c r="O29" s="507"/>
      <c r="P29" s="507"/>
    </row>
    <row r="30" spans="2:136" x14ac:dyDescent="0.25">
      <c r="B30" s="776" t="s">
        <v>490</v>
      </c>
      <c r="C30" s="777"/>
      <c r="D30" s="778"/>
      <c r="E30" s="509">
        <f>E29/1.18</f>
        <v>34595.885683484987</v>
      </c>
      <c r="F30" s="509">
        <f t="shared" ref="F30:N30" si="6">F29/1.18</f>
        <v>38681.899782625092</v>
      </c>
      <c r="G30" s="509">
        <f t="shared" si="6"/>
        <v>41271.958772718812</v>
      </c>
      <c r="H30" s="509">
        <f t="shared" si="6"/>
        <v>44169.401047826083</v>
      </c>
      <c r="I30" s="509">
        <f t="shared" si="6"/>
        <v>47274.526494055273</v>
      </c>
      <c r="J30" s="509">
        <f t="shared" si="6"/>
        <v>50576.014636774729</v>
      </c>
      <c r="K30" s="509">
        <f t="shared" si="6"/>
        <v>54121.085754569307</v>
      </c>
      <c r="L30" s="509">
        <f t="shared" si="6"/>
        <v>57921.016545524755</v>
      </c>
      <c r="M30" s="509">
        <f t="shared" si="6"/>
        <v>61971.769102016573</v>
      </c>
      <c r="N30" s="509">
        <f t="shared" si="6"/>
        <v>66307.886922208578</v>
      </c>
      <c r="O30" s="507"/>
      <c r="P30" s="507"/>
    </row>
    <row r="31" spans="2:136" x14ac:dyDescent="0.25">
      <c r="B31" s="506"/>
      <c r="C31" s="506"/>
      <c r="D31" s="506"/>
      <c r="E31" s="507"/>
      <c r="F31" s="507"/>
      <c r="G31" s="507"/>
      <c r="H31" s="507"/>
      <c r="I31" s="507"/>
      <c r="J31" s="507"/>
      <c r="K31" s="507"/>
      <c r="L31" s="507"/>
      <c r="M31" s="507"/>
      <c r="N31" s="507"/>
      <c r="O31" s="507"/>
      <c r="P31" s="507"/>
    </row>
    <row r="32" spans="2:136" x14ac:dyDescent="0.25">
      <c r="B32" s="506"/>
      <c r="C32" s="506"/>
      <c r="D32" s="506"/>
      <c r="E32" s="507"/>
      <c r="F32" s="507"/>
      <c r="G32" s="507"/>
      <c r="H32" s="507"/>
      <c r="I32" s="507"/>
      <c r="J32" s="507"/>
      <c r="K32" s="507"/>
      <c r="L32" s="507"/>
      <c r="M32" s="507"/>
      <c r="N32" s="507"/>
      <c r="O32" s="507"/>
      <c r="P32" s="507"/>
    </row>
    <row r="33" spans="2:136" x14ac:dyDescent="0.25">
      <c r="B33" s="514" t="s">
        <v>147</v>
      </c>
      <c r="C33" s="517"/>
      <c r="D33" s="518"/>
      <c r="E33" s="507"/>
      <c r="F33" s="507"/>
      <c r="G33" s="507"/>
      <c r="H33" s="507"/>
      <c r="I33" s="507"/>
      <c r="J33" s="507"/>
      <c r="K33" s="507"/>
      <c r="L33" s="507"/>
      <c r="M33" s="507"/>
      <c r="N33" s="507"/>
      <c r="O33" s="507"/>
      <c r="P33" s="507"/>
    </row>
    <row r="34" spans="2:136" x14ac:dyDescent="0.25">
      <c r="B34" s="480"/>
      <c r="C34" s="506"/>
      <c r="D34" s="506"/>
      <c r="E34" s="507"/>
      <c r="F34" s="507"/>
      <c r="G34" s="507"/>
      <c r="H34" s="507"/>
      <c r="I34" s="507"/>
      <c r="J34" s="507"/>
      <c r="K34" s="507"/>
      <c r="L34" s="507"/>
      <c r="M34" s="507"/>
      <c r="N34" s="507"/>
      <c r="O34" s="507"/>
      <c r="P34" s="507"/>
    </row>
    <row r="35" spans="2:136" x14ac:dyDescent="0.25">
      <c r="E35" s="780" t="s">
        <v>2</v>
      </c>
      <c r="F35" s="780"/>
      <c r="G35" s="780"/>
      <c r="H35" s="780"/>
      <c r="I35" s="780"/>
      <c r="J35" s="780"/>
      <c r="K35" s="780"/>
      <c r="L35" s="780"/>
      <c r="M35" s="780"/>
      <c r="N35" s="780"/>
      <c r="O35" s="780"/>
      <c r="P35" s="780"/>
      <c r="Q35" s="780" t="s">
        <v>14</v>
      </c>
      <c r="R35" s="780"/>
      <c r="S35" s="780"/>
      <c r="T35" s="780"/>
      <c r="U35" s="780"/>
      <c r="V35" s="780"/>
      <c r="W35" s="780"/>
      <c r="X35" s="780"/>
      <c r="Y35" s="780"/>
      <c r="Z35" s="780"/>
      <c r="AA35" s="780"/>
      <c r="AB35" s="780"/>
      <c r="AC35" s="780" t="s">
        <v>15</v>
      </c>
      <c r="AD35" s="780"/>
      <c r="AE35" s="780"/>
      <c r="AF35" s="780"/>
      <c r="AG35" s="780"/>
      <c r="AH35" s="780"/>
      <c r="AI35" s="780"/>
      <c r="AJ35" s="780"/>
      <c r="AK35" s="780"/>
      <c r="AL35" s="780"/>
      <c r="AM35" s="780"/>
      <c r="AN35" s="780"/>
      <c r="AO35" s="780" t="s">
        <v>16</v>
      </c>
      <c r="AP35" s="780"/>
      <c r="AQ35" s="780"/>
      <c r="AR35" s="780"/>
      <c r="AS35" s="780"/>
      <c r="AT35" s="780"/>
      <c r="AU35" s="780"/>
      <c r="AV35" s="780"/>
      <c r="AW35" s="780"/>
      <c r="AX35" s="780"/>
      <c r="AY35" s="780"/>
      <c r="AZ35" s="780"/>
      <c r="BA35" s="780" t="s">
        <v>17</v>
      </c>
      <c r="BB35" s="780"/>
      <c r="BC35" s="780"/>
      <c r="BD35" s="780"/>
      <c r="BE35" s="780"/>
      <c r="BF35" s="780"/>
      <c r="BG35" s="780"/>
      <c r="BH35" s="780"/>
      <c r="BI35" s="780"/>
      <c r="BJ35" s="780"/>
      <c r="BK35" s="780"/>
      <c r="BL35" s="780"/>
      <c r="BM35" s="780" t="s">
        <v>135</v>
      </c>
      <c r="BN35" s="780"/>
      <c r="BO35" s="780"/>
      <c r="BP35" s="780"/>
      <c r="BQ35" s="780"/>
      <c r="BR35" s="780"/>
      <c r="BS35" s="780"/>
      <c r="BT35" s="780"/>
      <c r="BU35" s="780"/>
      <c r="BV35" s="780"/>
      <c r="BW35" s="780"/>
      <c r="BX35" s="780"/>
      <c r="BY35" s="780" t="s">
        <v>136</v>
      </c>
      <c r="BZ35" s="780"/>
      <c r="CA35" s="780"/>
      <c r="CB35" s="780"/>
      <c r="CC35" s="780"/>
      <c r="CD35" s="780"/>
      <c r="CE35" s="780"/>
      <c r="CF35" s="780"/>
      <c r="CG35" s="780"/>
      <c r="CH35" s="780"/>
      <c r="CI35" s="780"/>
      <c r="CJ35" s="780"/>
      <c r="CK35" s="780" t="s">
        <v>137</v>
      </c>
      <c r="CL35" s="780"/>
      <c r="CM35" s="780"/>
      <c r="CN35" s="780"/>
      <c r="CO35" s="780"/>
      <c r="CP35" s="780"/>
      <c r="CQ35" s="780"/>
      <c r="CR35" s="780"/>
      <c r="CS35" s="780"/>
      <c r="CT35" s="780"/>
      <c r="CU35" s="780"/>
      <c r="CV35" s="780"/>
      <c r="CW35" s="780" t="s">
        <v>138</v>
      </c>
      <c r="CX35" s="780"/>
      <c r="CY35" s="780"/>
      <c r="CZ35" s="780"/>
      <c r="DA35" s="780"/>
      <c r="DB35" s="780"/>
      <c r="DC35" s="780"/>
      <c r="DD35" s="780"/>
      <c r="DE35" s="780"/>
      <c r="DF35" s="780"/>
      <c r="DG35" s="780"/>
      <c r="DH35" s="780"/>
      <c r="DI35" s="780" t="s">
        <v>139</v>
      </c>
      <c r="DJ35" s="780"/>
      <c r="DK35" s="780"/>
      <c r="DL35" s="780"/>
      <c r="DM35" s="780"/>
      <c r="DN35" s="780"/>
      <c r="DO35" s="780"/>
      <c r="DP35" s="780"/>
      <c r="DQ35" s="780"/>
      <c r="DR35" s="780"/>
      <c r="DS35" s="780"/>
      <c r="DT35" s="780"/>
      <c r="DU35" s="780" t="s">
        <v>140</v>
      </c>
      <c r="DV35" s="780"/>
      <c r="DW35" s="780"/>
      <c r="DX35" s="780"/>
      <c r="DY35" s="780"/>
      <c r="DZ35" s="780"/>
      <c r="EA35" s="780"/>
      <c r="EB35" s="780"/>
      <c r="EC35" s="780"/>
      <c r="ED35" s="780"/>
      <c r="EE35" s="780"/>
      <c r="EF35" s="780"/>
    </row>
    <row r="36" spans="2:136" x14ac:dyDescent="0.25">
      <c r="B36" s="300" t="s">
        <v>148</v>
      </c>
      <c r="C36" s="776" t="s">
        <v>495</v>
      </c>
      <c r="D36" s="778"/>
      <c r="E36" s="300" t="s">
        <v>0</v>
      </c>
      <c r="F36" s="300" t="s">
        <v>1</v>
      </c>
      <c r="G36" s="300" t="s">
        <v>49</v>
      </c>
      <c r="H36" s="300" t="s">
        <v>50</v>
      </c>
      <c r="I36" s="300" t="s">
        <v>51</v>
      </c>
      <c r="J36" s="300" t="s">
        <v>52</v>
      </c>
      <c r="K36" s="300" t="s">
        <v>53</v>
      </c>
      <c r="L36" s="300" t="s">
        <v>54</v>
      </c>
      <c r="M36" s="300" t="s">
        <v>55</v>
      </c>
      <c r="N36" s="300" t="s">
        <v>56</v>
      </c>
      <c r="O36" s="300" t="s">
        <v>57</v>
      </c>
      <c r="P36" s="300" t="s">
        <v>58</v>
      </c>
      <c r="Q36" s="300" t="s">
        <v>0</v>
      </c>
      <c r="R36" s="300" t="s">
        <v>1</v>
      </c>
      <c r="S36" s="300" t="s">
        <v>49</v>
      </c>
      <c r="T36" s="300" t="s">
        <v>50</v>
      </c>
      <c r="U36" s="300" t="s">
        <v>51</v>
      </c>
      <c r="V36" s="300" t="s">
        <v>52</v>
      </c>
      <c r="W36" s="300" t="s">
        <v>53</v>
      </c>
      <c r="X36" s="300" t="s">
        <v>54</v>
      </c>
      <c r="Y36" s="300" t="s">
        <v>55</v>
      </c>
      <c r="Z36" s="300" t="s">
        <v>56</v>
      </c>
      <c r="AA36" s="300" t="s">
        <v>57</v>
      </c>
      <c r="AB36" s="300" t="s">
        <v>58</v>
      </c>
      <c r="AC36" s="300" t="s">
        <v>0</v>
      </c>
      <c r="AD36" s="300" t="s">
        <v>1</v>
      </c>
      <c r="AE36" s="300" t="s">
        <v>49</v>
      </c>
      <c r="AF36" s="300" t="s">
        <v>50</v>
      </c>
      <c r="AG36" s="300" t="s">
        <v>51</v>
      </c>
      <c r="AH36" s="300" t="s">
        <v>52</v>
      </c>
      <c r="AI36" s="300" t="s">
        <v>53</v>
      </c>
      <c r="AJ36" s="300" t="s">
        <v>54</v>
      </c>
      <c r="AK36" s="300" t="s">
        <v>55</v>
      </c>
      <c r="AL36" s="300" t="s">
        <v>56</v>
      </c>
      <c r="AM36" s="300" t="s">
        <v>57</v>
      </c>
      <c r="AN36" s="300" t="s">
        <v>58</v>
      </c>
      <c r="AO36" s="300" t="s">
        <v>0</v>
      </c>
      <c r="AP36" s="300" t="s">
        <v>1</v>
      </c>
      <c r="AQ36" s="300" t="s">
        <v>49</v>
      </c>
      <c r="AR36" s="300" t="s">
        <v>50</v>
      </c>
      <c r="AS36" s="300" t="s">
        <v>51</v>
      </c>
      <c r="AT36" s="300" t="s">
        <v>52</v>
      </c>
      <c r="AU36" s="300" t="s">
        <v>53</v>
      </c>
      <c r="AV36" s="300" t="s">
        <v>54</v>
      </c>
      <c r="AW36" s="300" t="s">
        <v>55</v>
      </c>
      <c r="AX36" s="300" t="s">
        <v>56</v>
      </c>
      <c r="AY36" s="300" t="s">
        <v>57</v>
      </c>
      <c r="AZ36" s="300" t="s">
        <v>58</v>
      </c>
      <c r="BA36" s="300" t="s">
        <v>0</v>
      </c>
      <c r="BB36" s="300" t="s">
        <v>1</v>
      </c>
      <c r="BC36" s="300" t="s">
        <v>49</v>
      </c>
      <c r="BD36" s="300" t="s">
        <v>50</v>
      </c>
      <c r="BE36" s="300" t="s">
        <v>51</v>
      </c>
      <c r="BF36" s="300" t="s">
        <v>52</v>
      </c>
      <c r="BG36" s="300" t="s">
        <v>53</v>
      </c>
      <c r="BH36" s="300" t="s">
        <v>54</v>
      </c>
      <c r="BI36" s="300" t="s">
        <v>55</v>
      </c>
      <c r="BJ36" s="300" t="s">
        <v>56</v>
      </c>
      <c r="BK36" s="300" t="s">
        <v>57</v>
      </c>
      <c r="BL36" s="300" t="s">
        <v>58</v>
      </c>
      <c r="BM36" s="300" t="s">
        <v>0</v>
      </c>
      <c r="BN36" s="300" t="s">
        <v>1</v>
      </c>
      <c r="BO36" s="300" t="s">
        <v>49</v>
      </c>
      <c r="BP36" s="300" t="s">
        <v>50</v>
      </c>
      <c r="BQ36" s="300" t="s">
        <v>51</v>
      </c>
      <c r="BR36" s="300" t="s">
        <v>52</v>
      </c>
      <c r="BS36" s="300" t="s">
        <v>53</v>
      </c>
      <c r="BT36" s="300" t="s">
        <v>54</v>
      </c>
      <c r="BU36" s="300" t="s">
        <v>55</v>
      </c>
      <c r="BV36" s="300" t="s">
        <v>56</v>
      </c>
      <c r="BW36" s="300" t="s">
        <v>57</v>
      </c>
      <c r="BX36" s="300" t="s">
        <v>58</v>
      </c>
      <c r="BY36" s="300" t="s">
        <v>0</v>
      </c>
      <c r="BZ36" s="300" t="s">
        <v>1</v>
      </c>
      <c r="CA36" s="300" t="s">
        <v>49</v>
      </c>
      <c r="CB36" s="300" t="s">
        <v>50</v>
      </c>
      <c r="CC36" s="300" t="s">
        <v>51</v>
      </c>
      <c r="CD36" s="300" t="s">
        <v>52</v>
      </c>
      <c r="CE36" s="300" t="s">
        <v>53</v>
      </c>
      <c r="CF36" s="300" t="s">
        <v>54</v>
      </c>
      <c r="CG36" s="300" t="s">
        <v>55</v>
      </c>
      <c r="CH36" s="300" t="s">
        <v>56</v>
      </c>
      <c r="CI36" s="300" t="s">
        <v>57</v>
      </c>
      <c r="CJ36" s="300" t="s">
        <v>58</v>
      </c>
      <c r="CK36" s="300" t="s">
        <v>0</v>
      </c>
      <c r="CL36" s="300" t="s">
        <v>1</v>
      </c>
      <c r="CM36" s="300" t="s">
        <v>49</v>
      </c>
      <c r="CN36" s="300" t="s">
        <v>50</v>
      </c>
      <c r="CO36" s="300" t="s">
        <v>51</v>
      </c>
      <c r="CP36" s="300" t="s">
        <v>52</v>
      </c>
      <c r="CQ36" s="300" t="s">
        <v>53</v>
      </c>
      <c r="CR36" s="300" t="s">
        <v>54</v>
      </c>
      <c r="CS36" s="300" t="s">
        <v>55</v>
      </c>
      <c r="CT36" s="300" t="s">
        <v>56</v>
      </c>
      <c r="CU36" s="300" t="s">
        <v>57</v>
      </c>
      <c r="CV36" s="300" t="s">
        <v>58</v>
      </c>
      <c r="CW36" s="300" t="s">
        <v>0</v>
      </c>
      <c r="CX36" s="300" t="s">
        <v>1</v>
      </c>
      <c r="CY36" s="300" t="s">
        <v>49</v>
      </c>
      <c r="CZ36" s="300" t="s">
        <v>50</v>
      </c>
      <c r="DA36" s="300" t="s">
        <v>51</v>
      </c>
      <c r="DB36" s="300" t="s">
        <v>52</v>
      </c>
      <c r="DC36" s="300" t="s">
        <v>53</v>
      </c>
      <c r="DD36" s="300" t="s">
        <v>54</v>
      </c>
      <c r="DE36" s="300" t="s">
        <v>55</v>
      </c>
      <c r="DF36" s="300" t="s">
        <v>56</v>
      </c>
      <c r="DG36" s="300" t="s">
        <v>57</v>
      </c>
      <c r="DH36" s="300" t="s">
        <v>58</v>
      </c>
      <c r="DI36" s="300" t="s">
        <v>0</v>
      </c>
      <c r="DJ36" s="300" t="s">
        <v>1</v>
      </c>
      <c r="DK36" s="300" t="s">
        <v>49</v>
      </c>
      <c r="DL36" s="300" t="s">
        <v>50</v>
      </c>
      <c r="DM36" s="300" t="s">
        <v>51</v>
      </c>
      <c r="DN36" s="300" t="s">
        <v>52</v>
      </c>
      <c r="DO36" s="300" t="s">
        <v>53</v>
      </c>
      <c r="DP36" s="300" t="s">
        <v>54</v>
      </c>
      <c r="DQ36" s="300" t="s">
        <v>55</v>
      </c>
      <c r="DR36" s="300" t="s">
        <v>56</v>
      </c>
      <c r="DS36" s="300" t="s">
        <v>57</v>
      </c>
      <c r="DT36" s="300" t="s">
        <v>58</v>
      </c>
      <c r="DU36" s="300" t="s">
        <v>0</v>
      </c>
      <c r="DV36" s="300" t="s">
        <v>1</v>
      </c>
      <c r="DW36" s="300" t="s">
        <v>49</v>
      </c>
      <c r="DX36" s="300" t="s">
        <v>50</v>
      </c>
      <c r="DY36" s="300" t="s">
        <v>51</v>
      </c>
      <c r="DZ36" s="300" t="s">
        <v>52</v>
      </c>
      <c r="EA36" s="300" t="s">
        <v>53</v>
      </c>
      <c r="EB36" s="300" t="s">
        <v>54</v>
      </c>
      <c r="EC36" s="300" t="s">
        <v>55</v>
      </c>
      <c r="ED36" s="300" t="s">
        <v>56</v>
      </c>
      <c r="EE36" s="300" t="s">
        <v>57</v>
      </c>
      <c r="EF36" s="300" t="s">
        <v>58</v>
      </c>
    </row>
    <row r="37" spans="2:136" s="190" customFormat="1" x14ac:dyDescent="0.25">
      <c r="B37" s="510" t="s">
        <v>492</v>
      </c>
      <c r="C37" s="812">
        <v>0</v>
      </c>
      <c r="D37" s="812"/>
      <c r="E37" s="508">
        <f>'INGRESOS AFILIACIONES'!F7*$C$37</f>
        <v>0</v>
      </c>
      <c r="F37" s="508">
        <f>'INGRESOS AFILIACIONES'!G7*$C$37</f>
        <v>0</v>
      </c>
      <c r="G37" s="508">
        <f>'INGRESOS AFILIACIONES'!H7*$C$37</f>
        <v>0</v>
      </c>
      <c r="H37" s="508">
        <f>'INGRESOS AFILIACIONES'!I7*$C$37</f>
        <v>0</v>
      </c>
      <c r="I37" s="508">
        <f>'INGRESOS AFILIACIONES'!J7*$C$37</f>
        <v>0</v>
      </c>
      <c r="J37" s="508">
        <f>'INGRESOS AFILIACIONES'!K7*$C$37</f>
        <v>0</v>
      </c>
      <c r="K37" s="508">
        <f>'INGRESOS AFILIACIONES'!L7*$C$37</f>
        <v>0</v>
      </c>
      <c r="L37" s="508">
        <f>'INGRESOS AFILIACIONES'!M7*$C$37</f>
        <v>0</v>
      </c>
      <c r="M37" s="508">
        <f>'INGRESOS AFILIACIONES'!N7*$C$37</f>
        <v>0</v>
      </c>
      <c r="N37" s="508">
        <f>'INGRESOS AFILIACIONES'!O7*$C$37</f>
        <v>0</v>
      </c>
      <c r="O37" s="508">
        <f>'INGRESOS AFILIACIONES'!P7*$C$37</f>
        <v>0</v>
      </c>
      <c r="P37" s="508">
        <f>'INGRESOS AFILIACIONES'!Q7*$C$37</f>
        <v>0</v>
      </c>
      <c r="Q37" s="508">
        <f>'INGRESOS AFILIACIONES'!R7*$C$37</f>
        <v>0</v>
      </c>
      <c r="R37" s="508">
        <f>'INGRESOS AFILIACIONES'!S7*$C$37</f>
        <v>0</v>
      </c>
      <c r="S37" s="508">
        <f>'INGRESOS AFILIACIONES'!T7*$C$37</f>
        <v>0</v>
      </c>
      <c r="T37" s="508">
        <f>'INGRESOS AFILIACIONES'!U7*$C$37</f>
        <v>0</v>
      </c>
      <c r="U37" s="508">
        <f>'INGRESOS AFILIACIONES'!V7*$C$37</f>
        <v>0</v>
      </c>
      <c r="V37" s="508">
        <f>'INGRESOS AFILIACIONES'!W7*$C$37</f>
        <v>0</v>
      </c>
      <c r="W37" s="508">
        <f>'INGRESOS AFILIACIONES'!X7*$C$37</f>
        <v>0</v>
      </c>
      <c r="X37" s="508">
        <f>'INGRESOS AFILIACIONES'!Y7*$C$37</f>
        <v>0</v>
      </c>
      <c r="Y37" s="508">
        <f>'INGRESOS AFILIACIONES'!Z7*$C$37</f>
        <v>0</v>
      </c>
      <c r="Z37" s="508">
        <f>'INGRESOS AFILIACIONES'!AA7*$C$37</f>
        <v>0</v>
      </c>
      <c r="AA37" s="508">
        <f>'INGRESOS AFILIACIONES'!AB7*$C$37</f>
        <v>0</v>
      </c>
      <c r="AB37" s="508">
        <f>'INGRESOS AFILIACIONES'!AC7*$C$37</f>
        <v>0</v>
      </c>
      <c r="AC37" s="508">
        <f>'INGRESOS AFILIACIONES'!AD7*$C$37</f>
        <v>0</v>
      </c>
      <c r="AD37" s="508">
        <f>'INGRESOS AFILIACIONES'!AE7*$C$37</f>
        <v>0</v>
      </c>
      <c r="AE37" s="508">
        <f>'INGRESOS AFILIACIONES'!AF7*$C$37</f>
        <v>0</v>
      </c>
      <c r="AF37" s="508">
        <f>'INGRESOS AFILIACIONES'!AG7*$C$37</f>
        <v>0</v>
      </c>
      <c r="AG37" s="508">
        <f>'INGRESOS AFILIACIONES'!AH7*$C$37</f>
        <v>0</v>
      </c>
      <c r="AH37" s="508">
        <f>'INGRESOS AFILIACIONES'!AI7*$C$37</f>
        <v>0</v>
      </c>
      <c r="AI37" s="508">
        <f>'INGRESOS AFILIACIONES'!AJ7*$C$37</f>
        <v>0</v>
      </c>
      <c r="AJ37" s="508">
        <f>'INGRESOS AFILIACIONES'!AK7*$C$37</f>
        <v>0</v>
      </c>
      <c r="AK37" s="508">
        <f>'INGRESOS AFILIACIONES'!AL7*$C$37</f>
        <v>0</v>
      </c>
      <c r="AL37" s="508">
        <f>'INGRESOS AFILIACIONES'!AM7*$C$37</f>
        <v>0</v>
      </c>
      <c r="AM37" s="508">
        <f>'INGRESOS AFILIACIONES'!AN7*$C$37</f>
        <v>0</v>
      </c>
      <c r="AN37" s="508">
        <f>'INGRESOS AFILIACIONES'!AO7*$C$37</f>
        <v>0</v>
      </c>
      <c r="AO37" s="508">
        <f>'INGRESOS AFILIACIONES'!AP7*$C$37</f>
        <v>0</v>
      </c>
      <c r="AP37" s="508">
        <f>'INGRESOS AFILIACIONES'!AQ7*$C$37</f>
        <v>0</v>
      </c>
      <c r="AQ37" s="508">
        <f>'INGRESOS AFILIACIONES'!AR7*$C$37</f>
        <v>0</v>
      </c>
      <c r="AR37" s="508">
        <f>'INGRESOS AFILIACIONES'!AS7*$C$37</f>
        <v>0</v>
      </c>
      <c r="AS37" s="508">
        <f>'INGRESOS AFILIACIONES'!AT7*$C$37</f>
        <v>0</v>
      </c>
      <c r="AT37" s="508">
        <f>'INGRESOS AFILIACIONES'!AU7*$C$37</f>
        <v>0</v>
      </c>
      <c r="AU37" s="508">
        <f>'INGRESOS AFILIACIONES'!AV7*$C$37</f>
        <v>0</v>
      </c>
      <c r="AV37" s="508">
        <f>'INGRESOS AFILIACIONES'!AW7*$C$37</f>
        <v>0</v>
      </c>
      <c r="AW37" s="508">
        <f>'INGRESOS AFILIACIONES'!AX7*$C$37</f>
        <v>0</v>
      </c>
      <c r="AX37" s="508">
        <f>'INGRESOS AFILIACIONES'!AY7*$C$37</f>
        <v>0</v>
      </c>
      <c r="AY37" s="508">
        <f>'INGRESOS AFILIACIONES'!AZ7*$C$37</f>
        <v>0</v>
      </c>
      <c r="AZ37" s="508">
        <f>'INGRESOS AFILIACIONES'!BA7*$C$37</f>
        <v>0</v>
      </c>
      <c r="BA37" s="508">
        <f>'INGRESOS AFILIACIONES'!BB7*$C$37</f>
        <v>0</v>
      </c>
      <c r="BB37" s="508">
        <f>'INGRESOS AFILIACIONES'!BC7*$C$37</f>
        <v>0</v>
      </c>
      <c r="BC37" s="508">
        <f>'INGRESOS AFILIACIONES'!BD7*$C$37</f>
        <v>0</v>
      </c>
      <c r="BD37" s="508">
        <f>'INGRESOS AFILIACIONES'!BE7*$C$37</f>
        <v>0</v>
      </c>
      <c r="BE37" s="508">
        <f>'INGRESOS AFILIACIONES'!BF7*$C$37</f>
        <v>0</v>
      </c>
      <c r="BF37" s="508">
        <f>'INGRESOS AFILIACIONES'!BG7*$C$37</f>
        <v>0</v>
      </c>
      <c r="BG37" s="508">
        <f>'INGRESOS AFILIACIONES'!BH7*$C$37</f>
        <v>0</v>
      </c>
      <c r="BH37" s="508">
        <f>'INGRESOS AFILIACIONES'!BI7*$C$37</f>
        <v>0</v>
      </c>
      <c r="BI37" s="508">
        <f>'INGRESOS AFILIACIONES'!BJ7*$C$37</f>
        <v>0</v>
      </c>
      <c r="BJ37" s="508">
        <f>'INGRESOS AFILIACIONES'!BK7*$C$37</f>
        <v>0</v>
      </c>
      <c r="BK37" s="508">
        <f>'INGRESOS AFILIACIONES'!BL7*$C$37</f>
        <v>0</v>
      </c>
      <c r="BL37" s="508">
        <f>'INGRESOS AFILIACIONES'!BM7*$C$37</f>
        <v>0</v>
      </c>
      <c r="BM37" s="508">
        <f>'INGRESOS AFILIACIONES'!BN7*$C$37</f>
        <v>0</v>
      </c>
      <c r="BN37" s="508">
        <f>'INGRESOS AFILIACIONES'!BO7*$C$37</f>
        <v>0</v>
      </c>
      <c r="BO37" s="508">
        <f>'INGRESOS AFILIACIONES'!BP7*$C$37</f>
        <v>0</v>
      </c>
      <c r="BP37" s="508">
        <f>'INGRESOS AFILIACIONES'!BQ7*$C$37</f>
        <v>0</v>
      </c>
      <c r="BQ37" s="508">
        <f>'INGRESOS AFILIACIONES'!BR7*$C$37</f>
        <v>0</v>
      </c>
      <c r="BR37" s="508">
        <f>'INGRESOS AFILIACIONES'!BS7*$C$37</f>
        <v>0</v>
      </c>
      <c r="BS37" s="508">
        <f>'INGRESOS AFILIACIONES'!BT7*$C$37</f>
        <v>0</v>
      </c>
      <c r="BT37" s="508">
        <f>'INGRESOS AFILIACIONES'!BU7*$C$37</f>
        <v>0</v>
      </c>
      <c r="BU37" s="508">
        <f>'INGRESOS AFILIACIONES'!BV7*$C$37</f>
        <v>0</v>
      </c>
      <c r="BV37" s="508">
        <f>'INGRESOS AFILIACIONES'!BW7*$C$37</f>
        <v>0</v>
      </c>
      <c r="BW37" s="508">
        <f>'INGRESOS AFILIACIONES'!BX7*$C$37</f>
        <v>0</v>
      </c>
      <c r="BX37" s="508">
        <f>'INGRESOS AFILIACIONES'!BY7*$C$37</f>
        <v>0</v>
      </c>
      <c r="BY37" s="508">
        <f>'INGRESOS AFILIACIONES'!BZ7*$C$37</f>
        <v>0</v>
      </c>
      <c r="BZ37" s="508">
        <f>'INGRESOS AFILIACIONES'!CA7*$C$37</f>
        <v>0</v>
      </c>
      <c r="CA37" s="508">
        <f>'INGRESOS AFILIACIONES'!CB7*$C$37</f>
        <v>0</v>
      </c>
      <c r="CB37" s="508">
        <f>'INGRESOS AFILIACIONES'!CC7*$C$37</f>
        <v>0</v>
      </c>
      <c r="CC37" s="508">
        <f>'INGRESOS AFILIACIONES'!CD7*$C$37</f>
        <v>0</v>
      </c>
      <c r="CD37" s="508">
        <f>'INGRESOS AFILIACIONES'!CE7*$C$37</f>
        <v>0</v>
      </c>
      <c r="CE37" s="508">
        <f>'INGRESOS AFILIACIONES'!CF7*$C$37</f>
        <v>0</v>
      </c>
      <c r="CF37" s="508">
        <f>'INGRESOS AFILIACIONES'!CG7*$C$37</f>
        <v>0</v>
      </c>
      <c r="CG37" s="508">
        <f>'INGRESOS AFILIACIONES'!CH7*$C$37</f>
        <v>0</v>
      </c>
      <c r="CH37" s="508">
        <f>'INGRESOS AFILIACIONES'!CI7*$C$37</f>
        <v>0</v>
      </c>
      <c r="CI37" s="508">
        <f>'INGRESOS AFILIACIONES'!CJ7*$C$37</f>
        <v>0</v>
      </c>
      <c r="CJ37" s="508">
        <f>'INGRESOS AFILIACIONES'!CK7*$C$37</f>
        <v>0</v>
      </c>
      <c r="CK37" s="508">
        <f>'INGRESOS AFILIACIONES'!CL7*$C$37</f>
        <v>0</v>
      </c>
      <c r="CL37" s="508">
        <f>'INGRESOS AFILIACIONES'!CM7*$C$37</f>
        <v>0</v>
      </c>
      <c r="CM37" s="508">
        <f>'INGRESOS AFILIACIONES'!CN7*$C$37</f>
        <v>0</v>
      </c>
      <c r="CN37" s="508">
        <f>'INGRESOS AFILIACIONES'!CO7*$C$37</f>
        <v>0</v>
      </c>
      <c r="CO37" s="508">
        <f>'INGRESOS AFILIACIONES'!CP7*$C$37</f>
        <v>0</v>
      </c>
      <c r="CP37" s="508">
        <f>'INGRESOS AFILIACIONES'!CQ7*$C$37</f>
        <v>0</v>
      </c>
      <c r="CQ37" s="508">
        <f>'INGRESOS AFILIACIONES'!CR7*$C$37</f>
        <v>0</v>
      </c>
      <c r="CR37" s="508">
        <f>'INGRESOS AFILIACIONES'!CS7*$C$37</f>
        <v>0</v>
      </c>
      <c r="CS37" s="508">
        <f>'INGRESOS AFILIACIONES'!CT7*$C$37</f>
        <v>0</v>
      </c>
      <c r="CT37" s="508">
        <f>'INGRESOS AFILIACIONES'!CU7*$C$37</f>
        <v>0</v>
      </c>
      <c r="CU37" s="508">
        <f>'INGRESOS AFILIACIONES'!CV7*$C$37</f>
        <v>0</v>
      </c>
      <c r="CV37" s="508">
        <f>'INGRESOS AFILIACIONES'!CW7*$C$37</f>
        <v>0</v>
      </c>
      <c r="CW37" s="508">
        <f>'INGRESOS AFILIACIONES'!CX7*$C$37</f>
        <v>0</v>
      </c>
      <c r="CX37" s="508">
        <f>'INGRESOS AFILIACIONES'!CY7*$C$37</f>
        <v>0</v>
      </c>
      <c r="CY37" s="508">
        <f>'INGRESOS AFILIACIONES'!CZ7*$C$37</f>
        <v>0</v>
      </c>
      <c r="CZ37" s="508">
        <f>'INGRESOS AFILIACIONES'!DA7*$C$37</f>
        <v>0</v>
      </c>
      <c r="DA37" s="508">
        <f>'INGRESOS AFILIACIONES'!DB7*$C$37</f>
        <v>0</v>
      </c>
      <c r="DB37" s="508">
        <f>'INGRESOS AFILIACIONES'!DC7*$C$37</f>
        <v>0</v>
      </c>
      <c r="DC37" s="508">
        <f>'INGRESOS AFILIACIONES'!DD7*$C$37</f>
        <v>0</v>
      </c>
      <c r="DD37" s="508">
        <f>'INGRESOS AFILIACIONES'!DE7*$C$37</f>
        <v>0</v>
      </c>
      <c r="DE37" s="508">
        <f>'INGRESOS AFILIACIONES'!DF7*$C$37</f>
        <v>0</v>
      </c>
      <c r="DF37" s="508">
        <f>'INGRESOS AFILIACIONES'!DG7*$C$37</f>
        <v>0</v>
      </c>
      <c r="DG37" s="508">
        <f>'INGRESOS AFILIACIONES'!DH7*$C$37</f>
        <v>0</v>
      </c>
      <c r="DH37" s="508">
        <f>'INGRESOS AFILIACIONES'!DI7*$C$37</f>
        <v>0</v>
      </c>
      <c r="DI37" s="508">
        <f>'INGRESOS AFILIACIONES'!DJ7*$C$37</f>
        <v>0</v>
      </c>
      <c r="DJ37" s="508">
        <f>'INGRESOS AFILIACIONES'!DK7*$C$37</f>
        <v>0</v>
      </c>
      <c r="DK37" s="508">
        <f>'INGRESOS AFILIACIONES'!DL7*$C$37</f>
        <v>0</v>
      </c>
      <c r="DL37" s="508">
        <f>'INGRESOS AFILIACIONES'!DM7*$C$37</f>
        <v>0</v>
      </c>
      <c r="DM37" s="508">
        <f>'INGRESOS AFILIACIONES'!DN7*$C$37</f>
        <v>0</v>
      </c>
      <c r="DN37" s="508">
        <f>'INGRESOS AFILIACIONES'!DO7*$C$37</f>
        <v>0</v>
      </c>
      <c r="DO37" s="508">
        <f>'INGRESOS AFILIACIONES'!DP7*$C$37</f>
        <v>0</v>
      </c>
      <c r="DP37" s="508">
        <f>'INGRESOS AFILIACIONES'!DQ7*$C$37</f>
        <v>0</v>
      </c>
      <c r="DQ37" s="508">
        <f>'INGRESOS AFILIACIONES'!DR7*$C$37</f>
        <v>0</v>
      </c>
      <c r="DR37" s="508">
        <f>'INGRESOS AFILIACIONES'!DS7*$C$37</f>
        <v>0</v>
      </c>
      <c r="DS37" s="508">
        <f>'INGRESOS AFILIACIONES'!DT7*$C$37</f>
        <v>0</v>
      </c>
      <c r="DT37" s="508">
        <f>'INGRESOS AFILIACIONES'!DU7*$C$37</f>
        <v>0</v>
      </c>
      <c r="DU37" s="508" t="e">
        <f>'INGRESOS AFILIACIONES'!#REF!*$C$37</f>
        <v>#REF!</v>
      </c>
      <c r="DV37" s="508" t="e">
        <f>'INGRESOS AFILIACIONES'!#REF!*$C$37</f>
        <v>#REF!</v>
      </c>
      <c r="DW37" s="508" t="e">
        <f>'INGRESOS AFILIACIONES'!#REF!*$C$37</f>
        <v>#REF!</v>
      </c>
      <c r="DX37" s="508" t="e">
        <f>'INGRESOS AFILIACIONES'!#REF!*$C$37</f>
        <v>#REF!</v>
      </c>
      <c r="DY37" s="508" t="e">
        <f>'INGRESOS AFILIACIONES'!#REF!*$C$37</f>
        <v>#REF!</v>
      </c>
      <c r="DZ37" s="508" t="e">
        <f>'INGRESOS AFILIACIONES'!#REF!*$C$37</f>
        <v>#REF!</v>
      </c>
      <c r="EA37" s="508" t="e">
        <f>'INGRESOS AFILIACIONES'!#REF!*$C$37</f>
        <v>#REF!</v>
      </c>
      <c r="EB37" s="508" t="e">
        <f>'INGRESOS AFILIACIONES'!#REF!*$C$37</f>
        <v>#REF!</v>
      </c>
      <c r="EC37" s="508" t="e">
        <f>'INGRESOS AFILIACIONES'!#REF!*$C$37</f>
        <v>#REF!</v>
      </c>
      <c r="ED37" s="508" t="e">
        <f>'INGRESOS AFILIACIONES'!#REF!*$C$37</f>
        <v>#REF!</v>
      </c>
      <c r="EE37" s="508" t="e">
        <f>'INGRESOS AFILIACIONES'!#REF!*$C$37</f>
        <v>#REF!</v>
      </c>
      <c r="EF37" s="508" t="e">
        <f>'INGRESOS AFILIACIONES'!#REF!*$C$37</f>
        <v>#REF!</v>
      </c>
    </row>
    <row r="38" spans="2:136" s="190" customFormat="1" x14ac:dyDescent="0.25">
      <c r="B38" s="510" t="s">
        <v>493</v>
      </c>
      <c r="C38" s="812">
        <v>12.7</v>
      </c>
      <c r="D38" s="812"/>
      <c r="E38" s="508">
        <f>'INGRESOS AFILIACIONES'!F7*$C$38</f>
        <v>943.92496000000006</v>
      </c>
      <c r="F38" s="508">
        <f>'INGRESOS AFILIACIONES'!G7*$C$38</f>
        <v>1147.117923016868</v>
      </c>
      <c r="G38" s="508">
        <f>'INGRESOS AFILIACIONES'!H7*$C$38</f>
        <v>1328.5149376695349</v>
      </c>
      <c r="H38" s="508">
        <f>'INGRESOS AFILIACIONES'!I7*$C$38</f>
        <v>926.72094319770576</v>
      </c>
      <c r="I38" s="508">
        <f>'INGRESOS AFILIACIONES'!J7*$C$38</f>
        <v>926.72094319770576</v>
      </c>
      <c r="J38" s="508">
        <f>'INGRESOS AFILIACIONES'!K7*$C$38</f>
        <v>1201.0102133333339</v>
      </c>
      <c r="K38" s="508">
        <f>'INGRESOS AFILIACIONES'!L7*$C$38</f>
        <v>1332.9181594944389</v>
      </c>
      <c r="L38" s="508">
        <f>'INGRESOS AFILIACIONES'!M7*$C$38</f>
        <v>1421.6706001130281</v>
      </c>
      <c r="M38" s="508">
        <f>'INGRESOS AFILIACIONES'!N7*$C$38</f>
        <v>1428.4051707316171</v>
      </c>
      <c r="N38" s="508">
        <f>'INGRESOS AFILIACIONES'!O7*$C$38</f>
        <v>1332.9181594944389</v>
      </c>
      <c r="O38" s="508">
        <f>'INGRESOS AFILIACIONES'!P7*$C$38</f>
        <v>1272.5311168927137</v>
      </c>
      <c r="P38" s="508">
        <f>'INGRESOS AFILIACIONES'!Q7*$C$38</f>
        <v>1128.6872942909927</v>
      </c>
      <c r="Q38" s="508">
        <f>'INGRESOS AFILIACIONES'!R7*$C$38</f>
        <v>1687.4385351999999</v>
      </c>
      <c r="R38" s="508">
        <f>'INGRESOS AFILIACIONES'!S7*$C$38</f>
        <v>1519.9465806280489</v>
      </c>
      <c r="S38" s="508">
        <f>'INGRESOS AFILIACIONES'!T7*$C$38</f>
        <v>1215.0922931474026</v>
      </c>
      <c r="T38" s="508">
        <f>'INGRESOS AFILIACIONES'!U7*$C$38</f>
        <v>904.34549955487819</v>
      </c>
      <c r="U38" s="508">
        <f>'INGRESOS AFILIACIONES'!V7*$C$38</f>
        <v>904.34549955487819</v>
      </c>
      <c r="V38" s="508">
        <f>'INGRESOS AFILIACIONES'!W7*$C$38</f>
        <v>1151.6460076000003</v>
      </c>
      <c r="W38" s="508">
        <f>'INGRESOS AFILIACIONES'!X7*$C$38</f>
        <v>1372.0786455423781</v>
      </c>
      <c r="X38" s="508">
        <f>'INGRESOS AFILIACIONES'!Y7*$C$38</f>
        <v>1430.0925482042685</v>
      </c>
      <c r="Y38" s="508">
        <f>'INGRESOS AFILIACIONES'!Z7*$C$38</f>
        <v>1505.8122384161586</v>
      </c>
      <c r="Z38" s="508">
        <f>'INGRESOS AFILIACIONES'!AA7*$C$38</f>
        <v>1372.0786455423781</v>
      </c>
      <c r="AA38" s="508">
        <f>'INGRESOS AFILIACIONES'!AB7*$C$38</f>
        <v>1197.3807004085365</v>
      </c>
      <c r="AB38" s="508">
        <f>'INGRESOS AFILIACIONES'!AC7*$C$38</f>
        <v>1137.3854659246954</v>
      </c>
      <c r="AC38" s="508">
        <f>'INGRESOS AFILIACIONES'!AD7*$C$38</f>
        <v>1805.5592326640005</v>
      </c>
      <c r="AD38" s="508">
        <f>'INGRESOS AFILIACIONES'!AE7*$C$38</f>
        <v>1626.3428412720127</v>
      </c>
      <c r="AE38" s="508">
        <f>'INGRESOS AFILIACIONES'!AF7*$C$38</f>
        <v>1300.1487536677209</v>
      </c>
      <c r="AF38" s="508">
        <f>'INGRESOS AFILIACIONES'!AG7*$C$38</f>
        <v>967.64968452371966</v>
      </c>
      <c r="AG38" s="508">
        <f>'INGRESOS AFILIACIONES'!AH7*$C$38</f>
        <v>967.64968452371966</v>
      </c>
      <c r="AH38" s="508">
        <f>'INGRESOS AFILIACIONES'!AI7*$C$38</f>
        <v>1232.2612281320005</v>
      </c>
      <c r="AI38" s="508">
        <f>'INGRESOS AFILIACIONES'!AJ7*$C$38</f>
        <v>1468.1241507303446</v>
      </c>
      <c r="AJ38" s="508">
        <f>'INGRESOS AFILIACIONES'!AK7*$C$38</f>
        <v>1530.1990265785673</v>
      </c>
      <c r="AK38" s="508">
        <f>'INGRESOS AFILIACIONES'!AL7*$C$38</f>
        <v>1611.2190951052899</v>
      </c>
      <c r="AL38" s="508">
        <f>'INGRESOS AFILIACIONES'!AM7*$C$38</f>
        <v>1468.1241507303446</v>
      </c>
      <c r="AM38" s="508">
        <f>'INGRESOS AFILIACIONES'!AN7*$C$38</f>
        <v>1281.1973494371343</v>
      </c>
      <c r="AN38" s="508">
        <f>'INGRESOS AFILIACIONES'!AO7*$C$38</f>
        <v>1217.002448539424</v>
      </c>
      <c r="AO38" s="508">
        <f>'INGRESOS AFILIACIONES'!AP7*$C$38</f>
        <v>1931.9483789504807</v>
      </c>
      <c r="AP38" s="508">
        <f>'INGRESOS AFILIACIONES'!AQ7*$C$38</f>
        <v>1740.1868401610536</v>
      </c>
      <c r="AQ38" s="508">
        <f>'INGRESOS AFILIACIONES'!AR7*$C$38</f>
        <v>1391.1591664244615</v>
      </c>
      <c r="AR38" s="508">
        <f>'INGRESOS AFILIACIONES'!AS7*$C$38</f>
        <v>1035.3851624403803</v>
      </c>
      <c r="AS38" s="508">
        <f>'INGRESOS AFILIACIONES'!AT7*$C$38</f>
        <v>1035.3851624403803</v>
      </c>
      <c r="AT38" s="508">
        <f>'INGRESOS AFILIACIONES'!AU7*$C$38</f>
        <v>1318.5195141012405</v>
      </c>
      <c r="AU38" s="508">
        <f>'INGRESOS AFILIACIONES'!AV7*$C$38</f>
        <v>1570.8928412814691</v>
      </c>
      <c r="AV38" s="508">
        <f>'INGRESOS AFILIACIONES'!AW7*$C$38</f>
        <v>1637.3129584390672</v>
      </c>
      <c r="AW38" s="508">
        <f>'INGRESOS AFILIACIONES'!AX7*$C$38</f>
        <v>1724.0044317626603</v>
      </c>
      <c r="AX38" s="508">
        <f>'INGRESOS AFILIACIONES'!AY7*$C$38</f>
        <v>1570.8928412814691</v>
      </c>
      <c r="AY38" s="508">
        <f>'INGRESOS AFILIACIONES'!AZ7*$C$38</f>
        <v>1370.8811638977338</v>
      </c>
      <c r="AZ38" s="508">
        <f>'INGRESOS AFILIACIONES'!BA7*$C$38</f>
        <v>1302.192619937184</v>
      </c>
      <c r="BA38" s="508">
        <f>'INGRESOS AFILIACIONES'!BB7*$C$38</f>
        <v>2067.1847654770145</v>
      </c>
      <c r="BB38" s="508">
        <f>'INGRESOS AFILIACIONES'!BC7*$C$38</f>
        <v>1861.9999189723276</v>
      </c>
      <c r="BC38" s="508">
        <f>'INGRESOS AFILIACIONES'!BD7*$C$38</f>
        <v>1488.5403080741742</v>
      </c>
      <c r="BD38" s="508">
        <f>'INGRESOS AFILIACIONES'!BE7*$C$38</f>
        <v>1107.8621238112069</v>
      </c>
      <c r="BE38" s="508">
        <f>'INGRESOS AFILIACIONES'!BF7*$C$38</f>
        <v>1107.8621238112069</v>
      </c>
      <c r="BF38" s="508">
        <f>'INGRESOS AFILIACIONES'!BG7*$C$38</f>
        <v>1410.8158800883275</v>
      </c>
      <c r="BG38" s="508">
        <f>'INGRESOS AFILIACIONES'!BH7*$C$38</f>
        <v>1680.855340171172</v>
      </c>
      <c r="BH38" s="508">
        <f>'INGRESOS AFILIACIONES'!BI7*$C$38</f>
        <v>1751.9248655298022</v>
      </c>
      <c r="BI38" s="508">
        <f>'INGRESOS AFILIACIONES'!BJ7*$C$38</f>
        <v>1844.6847419860467</v>
      </c>
      <c r="BJ38" s="508">
        <f>'INGRESOS AFILIACIONES'!BK7*$C$38</f>
        <v>1680.855340171172</v>
      </c>
      <c r="BK38" s="508">
        <f>'INGRESOS AFILIACIONES'!BL7*$C$38</f>
        <v>1466.8428453705753</v>
      </c>
      <c r="BL38" s="508">
        <f>'INGRESOS AFILIACIONES'!BM7*$C$38</f>
        <v>1393.3461033327869</v>
      </c>
      <c r="BM38" s="508">
        <f>'INGRESOS AFILIACIONES'!BN7*$C$38</f>
        <v>2211.8876990604053</v>
      </c>
      <c r="BN38" s="508">
        <f>'INGRESOS AFILIACIONES'!BO7*$C$38</f>
        <v>1992.3399133003904</v>
      </c>
      <c r="BO38" s="508">
        <f>'INGRESOS AFILIACIONES'!BP7*$C$38</f>
        <v>1592.7381296393662</v>
      </c>
      <c r="BP38" s="508">
        <f>'INGRESOS AFILIACIONES'!BQ7*$C$38</f>
        <v>1185.4124724779915</v>
      </c>
      <c r="BQ38" s="508">
        <f>'INGRESOS AFILIACIONES'!BR7*$C$38</f>
        <v>1185.4124724779915</v>
      </c>
      <c r="BR38" s="508">
        <f>'INGRESOS AFILIACIONES'!BS7*$C$38</f>
        <v>1509.5729916945104</v>
      </c>
      <c r="BS38" s="508">
        <f>'INGRESOS AFILIACIONES'!BT7*$C$38</f>
        <v>1798.5152139831544</v>
      </c>
      <c r="BT38" s="508">
        <f>'INGRESOS AFILIACIONES'!BU7*$C$38</f>
        <v>1874.5596061168885</v>
      </c>
      <c r="BU38" s="508">
        <f>'INGRESOS AFILIACIONES'!BV7*$C$38</f>
        <v>1973.8126739250702</v>
      </c>
      <c r="BV38" s="508">
        <f>'INGRESOS AFILIACIONES'!BW7*$C$38</f>
        <v>1798.5152139831544</v>
      </c>
      <c r="BW38" s="508">
        <f>'INGRESOS AFILIACIONES'!BX7*$C$38</f>
        <v>1569.5218445465157</v>
      </c>
      <c r="BX38" s="508">
        <f>'INGRESOS AFILIACIONES'!BY7*$C$38</f>
        <v>1490.8803305660822</v>
      </c>
      <c r="BY38" s="508">
        <f>'INGRESOS AFILIACIONES'!BZ7*$C$38</f>
        <v>2366.719837994634</v>
      </c>
      <c r="BZ38" s="508">
        <f>'INGRESOS AFILIACIONES'!CA7*$C$38</f>
        <v>2131.8037072314182</v>
      </c>
      <c r="CA38" s="508">
        <f>'INGRESOS AFILIACIONES'!CB7*$C$38</f>
        <v>1704.2297987141221</v>
      </c>
      <c r="CB38" s="508">
        <f>'INGRESOS AFILIACIONES'!CC7*$C$38</f>
        <v>1268.391345551451</v>
      </c>
      <c r="CC38" s="508">
        <f>'INGRESOS AFILIACIONES'!CD7*$C$38</f>
        <v>1268.391345551451</v>
      </c>
      <c r="CD38" s="508">
        <f>'INGRESOS AFILIACIONES'!CE7*$C$38</f>
        <v>1615.2431011131264</v>
      </c>
      <c r="CE38" s="508">
        <f>'INGRESOS AFILIACIONES'!CF7*$C$38</f>
        <v>1924.4112789619753</v>
      </c>
      <c r="CF38" s="508">
        <f>'INGRESOS AFILIACIONES'!CG7*$C$38</f>
        <v>2005.7787785450707</v>
      </c>
      <c r="CG38" s="508">
        <f>'INGRESOS AFILIACIONES'!CH7*$C$38</f>
        <v>2111.9795610998253</v>
      </c>
      <c r="CH38" s="508">
        <f>'INGRESOS AFILIACIONES'!CI7*$C$38</f>
        <v>1924.4112789619753</v>
      </c>
      <c r="CI38" s="508">
        <f>'INGRESOS AFILIACIONES'!CJ7*$C$38</f>
        <v>1679.388373664772</v>
      </c>
      <c r="CJ38" s="508">
        <f>'INGRESOS AFILIACIONES'!CK7*$C$38</f>
        <v>1595.2419537057081</v>
      </c>
      <c r="CK38" s="508">
        <f>'INGRESOS AFILIACIONES'!CL7*$C$38</f>
        <v>2532.3902266542586</v>
      </c>
      <c r="CL38" s="508">
        <f>'INGRESOS AFILIACIONES'!CM7*$C$38</f>
        <v>2281.0299667376175</v>
      </c>
      <c r="CM38" s="508">
        <f>'INGRESOS AFILIACIONES'!CN7*$C$38</f>
        <v>1823.5258846241109</v>
      </c>
      <c r="CN38" s="508">
        <f>'INGRESOS AFILIACIONES'!CO7*$C$38</f>
        <v>1357.1787397400528</v>
      </c>
      <c r="CO38" s="508">
        <f>'INGRESOS AFILIACIONES'!CP7*$C$38</f>
        <v>1357.1787397400528</v>
      </c>
      <c r="CP38" s="508">
        <f>'INGRESOS AFILIACIONES'!CQ7*$C$38</f>
        <v>1728.3101181910451</v>
      </c>
      <c r="CQ38" s="508">
        <f>'INGRESOS AFILIACIONES'!CR7*$C$38</f>
        <v>2059.1200684893133</v>
      </c>
      <c r="CR38" s="508">
        <f>'INGRESOS AFILIACIONES'!CS7*$C$38</f>
        <v>2146.1832930432261</v>
      </c>
      <c r="CS38" s="508">
        <f>'INGRESOS AFILIACIONES'!CT7*$C$38</f>
        <v>2259.8181303768133</v>
      </c>
      <c r="CT38" s="508">
        <f>'INGRESOS AFILIACIONES'!CU7*$C$38</f>
        <v>2059.1200684893133</v>
      </c>
      <c r="CU38" s="508">
        <f>'INGRESOS AFILIACIONES'!CV7*$C$38</f>
        <v>1796.9455598213062</v>
      </c>
      <c r="CV38" s="508">
        <f>'INGRESOS AFILIACIONES'!CW7*$C$38</f>
        <v>1706.9088904651078</v>
      </c>
      <c r="CW38" s="508">
        <f>'INGRESOS AFILIACIONES'!CX7*$C$38</f>
        <v>2709.6575425200572</v>
      </c>
      <c r="CX38" s="508">
        <f>'INGRESOS AFILIACIONES'!CY7*$C$38</f>
        <v>2440.7020644092509</v>
      </c>
      <c r="CY38" s="508">
        <f>'INGRESOS AFILIACIONES'!CZ7*$C$38</f>
        <v>1951.1726965477985</v>
      </c>
      <c r="CZ38" s="508">
        <f>'INGRESOS AFILIACIONES'!DA7*$C$38</f>
        <v>1452.1812515218564</v>
      </c>
      <c r="DA38" s="508">
        <f>'INGRESOS AFILIACIONES'!DB7*$C$38</f>
        <v>1452.1812515218564</v>
      </c>
      <c r="DB38" s="508">
        <f>'INGRESOS AFILIACIONES'!DC7*$C$38</f>
        <v>1849.2918264644184</v>
      </c>
      <c r="DC38" s="508">
        <f>'INGRESOS AFILIACIONES'!DD7*$C$38</f>
        <v>2203.2584732835653</v>
      </c>
      <c r="DD38" s="508">
        <f>'INGRESOS AFILIACIONES'!DE7*$C$38</f>
        <v>2296.4161235562515</v>
      </c>
      <c r="DE38" s="508">
        <f>'INGRESOS AFILIACIONES'!DF7*$C$38</f>
        <v>2418.0053995031899</v>
      </c>
      <c r="DF38" s="508">
        <f>'INGRESOS AFILIACIONES'!DG7*$C$38</f>
        <v>2203.2584732835653</v>
      </c>
      <c r="DG38" s="508">
        <f>'INGRESOS AFILIACIONES'!DH7*$C$38</f>
        <v>1922.7317490087978</v>
      </c>
      <c r="DH38" s="508">
        <f>'INGRESOS AFILIACIONES'!DI7*$C$38</f>
        <v>1826.3925127976654</v>
      </c>
      <c r="DI38" s="508">
        <f>'INGRESOS AFILIACIONES'!DJ7*$C$38</f>
        <v>2899.3335704964611</v>
      </c>
      <c r="DJ38" s="508">
        <f>'INGRESOS AFILIACIONES'!DK7*$C$38</f>
        <v>2611.5512089178983</v>
      </c>
      <c r="DK38" s="508">
        <f>'INGRESOS AFILIACIONES'!DL7*$C$38</f>
        <v>2087.7547853061446</v>
      </c>
      <c r="DL38" s="508">
        <f>'INGRESOS AFILIACIONES'!DM7*$C$38</f>
        <v>1553.8339391283862</v>
      </c>
      <c r="DM38" s="508">
        <f>'INGRESOS AFILIACIONES'!DN7*$C$38</f>
        <v>1553.8339391283862</v>
      </c>
      <c r="DN38" s="508">
        <f>'INGRESOS AFILIACIONES'!DO7*$C$38</f>
        <v>1978.742254316928</v>
      </c>
      <c r="DO38" s="508">
        <f>'INGRESOS AFILIACIONES'!DP7*$C$38</f>
        <v>2357.4865664134149</v>
      </c>
      <c r="DP38" s="508">
        <f>'INGRESOS AFILIACIONES'!DQ7*$C$38</f>
        <v>2457.1652522051895</v>
      </c>
      <c r="DQ38" s="508">
        <f>'INGRESOS AFILIACIONES'!DR7*$C$38</f>
        <v>2587.2657774684135</v>
      </c>
      <c r="DR38" s="508">
        <f>'INGRESOS AFILIACIONES'!DS7*$C$38</f>
        <v>2357.4865664134149</v>
      </c>
      <c r="DS38" s="508">
        <f>'INGRESOS AFILIACIONES'!DT7*$C$38</f>
        <v>2057.3229714394133</v>
      </c>
      <c r="DT38" s="508">
        <f>'INGRESOS AFILIACIONES'!DU7*$C$38</f>
        <v>1954.239988693502</v>
      </c>
      <c r="DU38" s="508" t="e">
        <f>'INGRESOS AFILIACIONES'!#REF!*$C$38</f>
        <v>#REF!</v>
      </c>
      <c r="DV38" s="508" t="e">
        <f>'INGRESOS AFILIACIONES'!#REF!*$C$38</f>
        <v>#REF!</v>
      </c>
      <c r="DW38" s="508" t="e">
        <f>'INGRESOS AFILIACIONES'!#REF!*$C$38</f>
        <v>#REF!</v>
      </c>
      <c r="DX38" s="508" t="e">
        <f>'INGRESOS AFILIACIONES'!#REF!*$C$38</f>
        <v>#REF!</v>
      </c>
      <c r="DY38" s="508" t="e">
        <f>'INGRESOS AFILIACIONES'!#REF!*$C$38</f>
        <v>#REF!</v>
      </c>
      <c r="DZ38" s="508" t="e">
        <f>'INGRESOS AFILIACIONES'!#REF!*$C$38</f>
        <v>#REF!</v>
      </c>
      <c r="EA38" s="508" t="e">
        <f>'INGRESOS AFILIACIONES'!#REF!*$C$38</f>
        <v>#REF!</v>
      </c>
      <c r="EB38" s="508" t="e">
        <f>'INGRESOS AFILIACIONES'!#REF!*$C$38</f>
        <v>#REF!</v>
      </c>
      <c r="EC38" s="508" t="e">
        <f>'INGRESOS AFILIACIONES'!#REF!*$C$38</f>
        <v>#REF!</v>
      </c>
      <c r="ED38" s="508" t="e">
        <f>'INGRESOS AFILIACIONES'!#REF!*$C$38</f>
        <v>#REF!</v>
      </c>
      <c r="EE38" s="508" t="e">
        <f>'INGRESOS AFILIACIONES'!#REF!*$C$38</f>
        <v>#REF!</v>
      </c>
      <c r="EF38" s="508" t="e">
        <f>'INGRESOS AFILIACIONES'!#REF!*$C$38</f>
        <v>#REF!</v>
      </c>
    </row>
    <row r="39" spans="2:136" s="190" customFormat="1" x14ac:dyDescent="0.25">
      <c r="B39" s="809" t="s">
        <v>273</v>
      </c>
      <c r="C39" s="810"/>
      <c r="D39" s="811"/>
      <c r="E39" s="509">
        <f>SUM(E37:E38)</f>
        <v>943.92496000000006</v>
      </c>
      <c r="F39" s="509">
        <f t="shared" ref="F39:BQ39" si="7">SUM(F37:F38)</f>
        <v>1147.117923016868</v>
      </c>
      <c r="G39" s="509">
        <f t="shared" si="7"/>
        <v>1328.5149376695349</v>
      </c>
      <c r="H39" s="509">
        <f t="shared" si="7"/>
        <v>926.72094319770576</v>
      </c>
      <c r="I39" s="509">
        <f t="shared" si="7"/>
        <v>926.72094319770576</v>
      </c>
      <c r="J39" s="509">
        <f t="shared" si="7"/>
        <v>1201.0102133333339</v>
      </c>
      <c r="K39" s="509">
        <f t="shared" si="7"/>
        <v>1332.9181594944389</v>
      </c>
      <c r="L39" s="509">
        <f t="shared" si="7"/>
        <v>1421.6706001130281</v>
      </c>
      <c r="M39" s="509">
        <f t="shared" si="7"/>
        <v>1428.4051707316171</v>
      </c>
      <c r="N39" s="509">
        <f t="shared" si="7"/>
        <v>1332.9181594944389</v>
      </c>
      <c r="O39" s="509">
        <f t="shared" si="7"/>
        <v>1272.5311168927137</v>
      </c>
      <c r="P39" s="509">
        <f t="shared" si="7"/>
        <v>1128.6872942909927</v>
      </c>
      <c r="Q39" s="509">
        <f t="shared" si="7"/>
        <v>1687.4385351999999</v>
      </c>
      <c r="R39" s="509">
        <f t="shared" si="7"/>
        <v>1519.9465806280489</v>
      </c>
      <c r="S39" s="509">
        <f t="shared" si="7"/>
        <v>1215.0922931474026</v>
      </c>
      <c r="T39" s="509">
        <f t="shared" si="7"/>
        <v>904.34549955487819</v>
      </c>
      <c r="U39" s="509">
        <f t="shared" si="7"/>
        <v>904.34549955487819</v>
      </c>
      <c r="V39" s="509">
        <f t="shared" si="7"/>
        <v>1151.6460076000003</v>
      </c>
      <c r="W39" s="509">
        <f t="shared" si="7"/>
        <v>1372.0786455423781</v>
      </c>
      <c r="X39" s="509">
        <f t="shared" si="7"/>
        <v>1430.0925482042685</v>
      </c>
      <c r="Y39" s="509">
        <f t="shared" si="7"/>
        <v>1505.8122384161586</v>
      </c>
      <c r="Z39" s="509">
        <f t="shared" si="7"/>
        <v>1372.0786455423781</v>
      </c>
      <c r="AA39" s="509">
        <f t="shared" si="7"/>
        <v>1197.3807004085365</v>
      </c>
      <c r="AB39" s="509">
        <f t="shared" si="7"/>
        <v>1137.3854659246954</v>
      </c>
      <c r="AC39" s="509">
        <f t="shared" si="7"/>
        <v>1805.5592326640005</v>
      </c>
      <c r="AD39" s="509">
        <f t="shared" si="7"/>
        <v>1626.3428412720127</v>
      </c>
      <c r="AE39" s="509">
        <f t="shared" si="7"/>
        <v>1300.1487536677209</v>
      </c>
      <c r="AF39" s="509">
        <f t="shared" si="7"/>
        <v>967.64968452371966</v>
      </c>
      <c r="AG39" s="509">
        <f t="shared" si="7"/>
        <v>967.64968452371966</v>
      </c>
      <c r="AH39" s="509">
        <f t="shared" si="7"/>
        <v>1232.2612281320005</v>
      </c>
      <c r="AI39" s="509">
        <f t="shared" si="7"/>
        <v>1468.1241507303446</v>
      </c>
      <c r="AJ39" s="509">
        <f t="shared" si="7"/>
        <v>1530.1990265785673</v>
      </c>
      <c r="AK39" s="509">
        <f t="shared" si="7"/>
        <v>1611.2190951052899</v>
      </c>
      <c r="AL39" s="509">
        <f t="shared" si="7"/>
        <v>1468.1241507303446</v>
      </c>
      <c r="AM39" s="509">
        <f t="shared" si="7"/>
        <v>1281.1973494371343</v>
      </c>
      <c r="AN39" s="509">
        <f t="shared" si="7"/>
        <v>1217.002448539424</v>
      </c>
      <c r="AO39" s="509">
        <f t="shared" si="7"/>
        <v>1931.9483789504807</v>
      </c>
      <c r="AP39" s="509">
        <f t="shared" si="7"/>
        <v>1740.1868401610536</v>
      </c>
      <c r="AQ39" s="509">
        <f t="shared" si="7"/>
        <v>1391.1591664244615</v>
      </c>
      <c r="AR39" s="509">
        <f t="shared" si="7"/>
        <v>1035.3851624403803</v>
      </c>
      <c r="AS39" s="509">
        <f t="shared" si="7"/>
        <v>1035.3851624403803</v>
      </c>
      <c r="AT39" s="509">
        <f t="shared" si="7"/>
        <v>1318.5195141012405</v>
      </c>
      <c r="AU39" s="509">
        <f t="shared" si="7"/>
        <v>1570.8928412814691</v>
      </c>
      <c r="AV39" s="509">
        <f t="shared" si="7"/>
        <v>1637.3129584390672</v>
      </c>
      <c r="AW39" s="509">
        <f t="shared" si="7"/>
        <v>1724.0044317626603</v>
      </c>
      <c r="AX39" s="509">
        <f t="shared" si="7"/>
        <v>1570.8928412814691</v>
      </c>
      <c r="AY39" s="509">
        <f t="shared" si="7"/>
        <v>1370.8811638977338</v>
      </c>
      <c r="AZ39" s="509">
        <f t="shared" si="7"/>
        <v>1302.192619937184</v>
      </c>
      <c r="BA39" s="509">
        <f t="shared" si="7"/>
        <v>2067.1847654770145</v>
      </c>
      <c r="BB39" s="509">
        <f t="shared" si="7"/>
        <v>1861.9999189723276</v>
      </c>
      <c r="BC39" s="509">
        <f t="shared" si="7"/>
        <v>1488.5403080741742</v>
      </c>
      <c r="BD39" s="509">
        <f t="shared" si="7"/>
        <v>1107.8621238112069</v>
      </c>
      <c r="BE39" s="509">
        <f t="shared" si="7"/>
        <v>1107.8621238112069</v>
      </c>
      <c r="BF39" s="509">
        <f t="shared" si="7"/>
        <v>1410.8158800883275</v>
      </c>
      <c r="BG39" s="509">
        <f t="shared" si="7"/>
        <v>1680.855340171172</v>
      </c>
      <c r="BH39" s="509">
        <f t="shared" si="7"/>
        <v>1751.9248655298022</v>
      </c>
      <c r="BI39" s="509">
        <f t="shared" si="7"/>
        <v>1844.6847419860467</v>
      </c>
      <c r="BJ39" s="509">
        <f t="shared" si="7"/>
        <v>1680.855340171172</v>
      </c>
      <c r="BK39" s="509">
        <f t="shared" si="7"/>
        <v>1466.8428453705753</v>
      </c>
      <c r="BL39" s="509">
        <f t="shared" si="7"/>
        <v>1393.3461033327869</v>
      </c>
      <c r="BM39" s="509">
        <f t="shared" si="7"/>
        <v>2211.8876990604053</v>
      </c>
      <c r="BN39" s="509">
        <f t="shared" si="7"/>
        <v>1992.3399133003904</v>
      </c>
      <c r="BO39" s="509">
        <f t="shared" si="7"/>
        <v>1592.7381296393662</v>
      </c>
      <c r="BP39" s="509">
        <f t="shared" si="7"/>
        <v>1185.4124724779915</v>
      </c>
      <c r="BQ39" s="509">
        <f t="shared" si="7"/>
        <v>1185.4124724779915</v>
      </c>
      <c r="BR39" s="509">
        <f t="shared" ref="BR39:EC39" si="8">SUM(BR37:BR38)</f>
        <v>1509.5729916945104</v>
      </c>
      <c r="BS39" s="509">
        <f t="shared" si="8"/>
        <v>1798.5152139831544</v>
      </c>
      <c r="BT39" s="509">
        <f t="shared" si="8"/>
        <v>1874.5596061168885</v>
      </c>
      <c r="BU39" s="509">
        <f t="shared" si="8"/>
        <v>1973.8126739250702</v>
      </c>
      <c r="BV39" s="509">
        <f t="shared" si="8"/>
        <v>1798.5152139831544</v>
      </c>
      <c r="BW39" s="509">
        <f t="shared" si="8"/>
        <v>1569.5218445465157</v>
      </c>
      <c r="BX39" s="509">
        <f t="shared" si="8"/>
        <v>1490.8803305660822</v>
      </c>
      <c r="BY39" s="509">
        <f t="shared" si="8"/>
        <v>2366.719837994634</v>
      </c>
      <c r="BZ39" s="509">
        <f t="shared" si="8"/>
        <v>2131.8037072314182</v>
      </c>
      <c r="CA39" s="509">
        <f t="shared" si="8"/>
        <v>1704.2297987141221</v>
      </c>
      <c r="CB39" s="509">
        <f t="shared" si="8"/>
        <v>1268.391345551451</v>
      </c>
      <c r="CC39" s="509">
        <f t="shared" si="8"/>
        <v>1268.391345551451</v>
      </c>
      <c r="CD39" s="509">
        <f t="shared" si="8"/>
        <v>1615.2431011131264</v>
      </c>
      <c r="CE39" s="509">
        <f t="shared" si="8"/>
        <v>1924.4112789619753</v>
      </c>
      <c r="CF39" s="509">
        <f t="shared" si="8"/>
        <v>2005.7787785450707</v>
      </c>
      <c r="CG39" s="509">
        <f t="shared" si="8"/>
        <v>2111.9795610998253</v>
      </c>
      <c r="CH39" s="509">
        <f t="shared" si="8"/>
        <v>1924.4112789619753</v>
      </c>
      <c r="CI39" s="509">
        <f t="shared" si="8"/>
        <v>1679.388373664772</v>
      </c>
      <c r="CJ39" s="509">
        <f t="shared" si="8"/>
        <v>1595.2419537057081</v>
      </c>
      <c r="CK39" s="509">
        <f t="shared" si="8"/>
        <v>2532.3902266542586</v>
      </c>
      <c r="CL39" s="509">
        <f t="shared" si="8"/>
        <v>2281.0299667376175</v>
      </c>
      <c r="CM39" s="509">
        <f t="shared" si="8"/>
        <v>1823.5258846241109</v>
      </c>
      <c r="CN39" s="509">
        <f t="shared" si="8"/>
        <v>1357.1787397400528</v>
      </c>
      <c r="CO39" s="509">
        <f t="shared" si="8"/>
        <v>1357.1787397400528</v>
      </c>
      <c r="CP39" s="509">
        <f t="shared" si="8"/>
        <v>1728.3101181910451</v>
      </c>
      <c r="CQ39" s="509">
        <f t="shared" si="8"/>
        <v>2059.1200684893133</v>
      </c>
      <c r="CR39" s="509">
        <f t="shared" si="8"/>
        <v>2146.1832930432261</v>
      </c>
      <c r="CS39" s="509">
        <f t="shared" si="8"/>
        <v>2259.8181303768133</v>
      </c>
      <c r="CT39" s="509">
        <f t="shared" si="8"/>
        <v>2059.1200684893133</v>
      </c>
      <c r="CU39" s="509">
        <f t="shared" si="8"/>
        <v>1796.9455598213062</v>
      </c>
      <c r="CV39" s="509">
        <f t="shared" si="8"/>
        <v>1706.9088904651078</v>
      </c>
      <c r="CW39" s="509">
        <f t="shared" si="8"/>
        <v>2709.6575425200572</v>
      </c>
      <c r="CX39" s="509">
        <f t="shared" si="8"/>
        <v>2440.7020644092509</v>
      </c>
      <c r="CY39" s="509">
        <f t="shared" si="8"/>
        <v>1951.1726965477985</v>
      </c>
      <c r="CZ39" s="509">
        <f t="shared" si="8"/>
        <v>1452.1812515218564</v>
      </c>
      <c r="DA39" s="509">
        <f t="shared" si="8"/>
        <v>1452.1812515218564</v>
      </c>
      <c r="DB39" s="509">
        <f t="shared" si="8"/>
        <v>1849.2918264644184</v>
      </c>
      <c r="DC39" s="509">
        <f t="shared" si="8"/>
        <v>2203.2584732835653</v>
      </c>
      <c r="DD39" s="509">
        <f t="shared" si="8"/>
        <v>2296.4161235562515</v>
      </c>
      <c r="DE39" s="509">
        <f t="shared" si="8"/>
        <v>2418.0053995031899</v>
      </c>
      <c r="DF39" s="509">
        <f t="shared" si="8"/>
        <v>2203.2584732835653</v>
      </c>
      <c r="DG39" s="509">
        <f t="shared" si="8"/>
        <v>1922.7317490087978</v>
      </c>
      <c r="DH39" s="509">
        <f t="shared" si="8"/>
        <v>1826.3925127976654</v>
      </c>
      <c r="DI39" s="509">
        <f t="shared" si="8"/>
        <v>2899.3335704964611</v>
      </c>
      <c r="DJ39" s="509">
        <f t="shared" si="8"/>
        <v>2611.5512089178983</v>
      </c>
      <c r="DK39" s="509">
        <f t="shared" si="8"/>
        <v>2087.7547853061446</v>
      </c>
      <c r="DL39" s="509">
        <f t="shared" si="8"/>
        <v>1553.8339391283862</v>
      </c>
      <c r="DM39" s="509">
        <f t="shared" si="8"/>
        <v>1553.8339391283862</v>
      </c>
      <c r="DN39" s="509">
        <f t="shared" si="8"/>
        <v>1978.742254316928</v>
      </c>
      <c r="DO39" s="509">
        <f t="shared" si="8"/>
        <v>2357.4865664134149</v>
      </c>
      <c r="DP39" s="509">
        <f t="shared" si="8"/>
        <v>2457.1652522051895</v>
      </c>
      <c r="DQ39" s="509">
        <f t="shared" si="8"/>
        <v>2587.2657774684135</v>
      </c>
      <c r="DR39" s="509">
        <f t="shared" si="8"/>
        <v>2357.4865664134149</v>
      </c>
      <c r="DS39" s="509">
        <f t="shared" si="8"/>
        <v>2057.3229714394133</v>
      </c>
      <c r="DT39" s="509">
        <f t="shared" si="8"/>
        <v>1954.239988693502</v>
      </c>
      <c r="DU39" s="509" t="e">
        <f t="shared" si="8"/>
        <v>#REF!</v>
      </c>
      <c r="DV39" s="509" t="e">
        <f t="shared" si="8"/>
        <v>#REF!</v>
      </c>
      <c r="DW39" s="509" t="e">
        <f t="shared" si="8"/>
        <v>#REF!</v>
      </c>
      <c r="DX39" s="509" t="e">
        <f t="shared" si="8"/>
        <v>#REF!</v>
      </c>
      <c r="DY39" s="509" t="e">
        <f t="shared" si="8"/>
        <v>#REF!</v>
      </c>
      <c r="DZ39" s="509" t="e">
        <f t="shared" si="8"/>
        <v>#REF!</v>
      </c>
      <c r="EA39" s="509" t="e">
        <f t="shared" si="8"/>
        <v>#REF!</v>
      </c>
      <c r="EB39" s="509" t="e">
        <f t="shared" si="8"/>
        <v>#REF!</v>
      </c>
      <c r="EC39" s="509" t="e">
        <f t="shared" si="8"/>
        <v>#REF!</v>
      </c>
      <c r="ED39" s="509" t="e">
        <f>SUM(ED37:ED38)</f>
        <v>#REF!</v>
      </c>
      <c r="EE39" s="509" t="e">
        <f>SUM(EE37:EE38)</f>
        <v>#REF!</v>
      </c>
      <c r="EF39" s="509" t="e">
        <f>SUM(EF37:EF38)</f>
        <v>#REF!</v>
      </c>
    </row>
    <row r="40" spans="2:136" s="190" customFormat="1" x14ac:dyDescent="0.25">
      <c r="B40" s="511"/>
      <c r="C40" s="511"/>
      <c r="D40" s="511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12"/>
      <c r="V40" s="512"/>
      <c r="W40" s="512"/>
      <c r="X40" s="512"/>
      <c r="Y40" s="512"/>
      <c r="Z40" s="512"/>
      <c r="AA40" s="512"/>
      <c r="AB40" s="512"/>
      <c r="AC40" s="512"/>
      <c r="AD40" s="512"/>
      <c r="AE40" s="512"/>
      <c r="AF40" s="512"/>
      <c r="AG40" s="512"/>
      <c r="AH40" s="512"/>
      <c r="AI40" s="512"/>
      <c r="AJ40" s="512"/>
      <c r="AK40" s="512"/>
      <c r="AL40" s="512"/>
      <c r="AM40" s="512"/>
      <c r="AN40" s="512"/>
      <c r="AO40" s="512"/>
      <c r="AP40" s="512"/>
      <c r="AQ40" s="512"/>
      <c r="AR40" s="512"/>
      <c r="AS40" s="512"/>
      <c r="AT40" s="512"/>
      <c r="AU40" s="512"/>
      <c r="AV40" s="512"/>
      <c r="AW40" s="512"/>
      <c r="AX40" s="512"/>
      <c r="AY40" s="512"/>
      <c r="AZ40" s="512"/>
      <c r="BA40" s="512"/>
      <c r="BB40" s="512"/>
      <c r="BC40" s="512"/>
      <c r="BD40" s="512"/>
      <c r="BE40" s="512"/>
      <c r="BF40" s="512"/>
      <c r="BG40" s="512"/>
      <c r="BH40" s="512"/>
      <c r="BI40" s="512"/>
      <c r="BJ40" s="512"/>
      <c r="BK40" s="512"/>
      <c r="BL40" s="512"/>
      <c r="BM40" s="512"/>
      <c r="BN40" s="512"/>
      <c r="BO40" s="512"/>
      <c r="BP40" s="512"/>
      <c r="BQ40" s="512"/>
      <c r="BR40" s="512"/>
      <c r="BS40" s="512"/>
      <c r="BT40" s="512"/>
      <c r="BU40" s="512"/>
      <c r="BV40" s="512"/>
      <c r="BW40" s="512"/>
      <c r="BX40" s="512"/>
      <c r="BY40" s="512"/>
      <c r="BZ40" s="512"/>
      <c r="CA40" s="512"/>
      <c r="CB40" s="512"/>
      <c r="CC40" s="512"/>
      <c r="CD40" s="512"/>
      <c r="CE40" s="512"/>
      <c r="CF40" s="512"/>
      <c r="CG40" s="512"/>
      <c r="CH40" s="512"/>
      <c r="CI40" s="512"/>
      <c r="CJ40" s="512"/>
      <c r="CK40" s="512"/>
      <c r="CL40" s="512"/>
      <c r="CM40" s="512"/>
      <c r="CN40" s="512"/>
      <c r="CO40" s="512"/>
      <c r="CP40" s="512"/>
      <c r="CQ40" s="512"/>
      <c r="CR40" s="512"/>
      <c r="CS40" s="512"/>
      <c r="CT40" s="512"/>
      <c r="CU40" s="512"/>
      <c r="CV40" s="512"/>
      <c r="CW40" s="512"/>
      <c r="CX40" s="512"/>
      <c r="CY40" s="512"/>
      <c r="CZ40" s="512"/>
      <c r="DA40" s="512"/>
      <c r="DB40" s="512"/>
      <c r="DC40" s="512"/>
      <c r="DD40" s="512"/>
      <c r="DE40" s="512"/>
      <c r="DF40" s="512"/>
      <c r="DG40" s="512"/>
      <c r="DH40" s="512"/>
      <c r="DI40" s="512"/>
      <c r="DJ40" s="512"/>
      <c r="DK40" s="512"/>
      <c r="DL40" s="512"/>
      <c r="DM40" s="512"/>
      <c r="DN40" s="512"/>
      <c r="DO40" s="512"/>
      <c r="DP40" s="512"/>
      <c r="DQ40" s="512"/>
      <c r="DR40" s="512"/>
      <c r="DS40" s="512"/>
      <c r="DT40" s="512"/>
      <c r="DU40" s="512"/>
      <c r="DV40" s="512"/>
      <c r="DW40" s="512"/>
      <c r="DX40" s="512"/>
      <c r="DY40" s="512"/>
      <c r="DZ40" s="512"/>
      <c r="EA40" s="512"/>
      <c r="EB40" s="512"/>
      <c r="EC40" s="512"/>
      <c r="ED40" s="512"/>
      <c r="EE40" s="512"/>
      <c r="EF40" s="512"/>
    </row>
    <row r="41" spans="2:136" s="190" customFormat="1" x14ac:dyDescent="0.25">
      <c r="B41" s="511"/>
      <c r="C41" s="511"/>
      <c r="D41" s="511"/>
      <c r="E41" s="512"/>
      <c r="F41" s="512"/>
      <c r="G41" s="512"/>
      <c r="H41" s="512"/>
      <c r="I41" s="512"/>
      <c r="J41" s="512"/>
      <c r="K41" s="512"/>
      <c r="L41" s="512"/>
      <c r="M41" s="512"/>
      <c r="N41" s="512"/>
      <c r="O41" s="512"/>
      <c r="P41" s="512"/>
      <c r="Q41" s="512"/>
      <c r="R41" s="512"/>
      <c r="S41" s="512"/>
      <c r="T41" s="512"/>
      <c r="U41" s="512"/>
      <c r="V41" s="512"/>
      <c r="W41" s="512"/>
      <c r="X41" s="512"/>
      <c r="Y41" s="512"/>
      <c r="Z41" s="512"/>
      <c r="AA41" s="512"/>
      <c r="AB41" s="512"/>
      <c r="AC41" s="512"/>
      <c r="AD41" s="512"/>
      <c r="AE41" s="512"/>
      <c r="AF41" s="512"/>
      <c r="AG41" s="512"/>
      <c r="AH41" s="512"/>
      <c r="AI41" s="512"/>
      <c r="AJ41" s="512"/>
      <c r="AK41" s="512"/>
      <c r="AL41" s="512"/>
      <c r="AM41" s="512"/>
      <c r="AN41" s="512"/>
      <c r="AO41" s="512"/>
      <c r="AP41" s="512"/>
      <c r="AQ41" s="512"/>
      <c r="AR41" s="512"/>
      <c r="AS41" s="512"/>
      <c r="AT41" s="512"/>
      <c r="AU41" s="512"/>
      <c r="AV41" s="512"/>
      <c r="AW41" s="512"/>
      <c r="AX41" s="512"/>
      <c r="AY41" s="512"/>
      <c r="AZ41" s="512"/>
      <c r="BA41" s="512"/>
      <c r="BB41" s="512"/>
      <c r="BC41" s="512"/>
      <c r="BD41" s="512"/>
      <c r="BE41" s="512"/>
      <c r="BF41" s="512"/>
      <c r="BG41" s="512"/>
      <c r="BH41" s="512"/>
      <c r="BI41" s="512"/>
      <c r="BJ41" s="512"/>
      <c r="BK41" s="512"/>
      <c r="BL41" s="512"/>
      <c r="BM41" s="512"/>
      <c r="BN41" s="512"/>
      <c r="BO41" s="512"/>
      <c r="BP41" s="512"/>
      <c r="BQ41" s="512"/>
      <c r="BR41" s="512"/>
      <c r="BS41" s="512"/>
      <c r="BT41" s="512"/>
      <c r="BU41" s="512"/>
      <c r="BV41" s="512"/>
      <c r="BW41" s="512"/>
      <c r="BX41" s="512"/>
      <c r="BY41" s="512"/>
      <c r="BZ41" s="512"/>
      <c r="CA41" s="512"/>
      <c r="CB41" s="512"/>
      <c r="CC41" s="512"/>
      <c r="CD41" s="512"/>
      <c r="CE41" s="512"/>
      <c r="CF41" s="512"/>
      <c r="CG41" s="512"/>
      <c r="CH41" s="512"/>
      <c r="CI41" s="512"/>
      <c r="CJ41" s="512"/>
      <c r="CK41" s="512"/>
      <c r="CL41" s="512"/>
      <c r="CM41" s="512"/>
      <c r="CN41" s="512"/>
      <c r="CO41" s="512"/>
      <c r="CP41" s="512"/>
      <c r="CQ41" s="512"/>
      <c r="CR41" s="512"/>
      <c r="CS41" s="512"/>
      <c r="CT41" s="512"/>
      <c r="CU41" s="512"/>
      <c r="CV41" s="512"/>
      <c r="CW41" s="512"/>
      <c r="CX41" s="512"/>
      <c r="CY41" s="512"/>
      <c r="CZ41" s="512"/>
      <c r="DA41" s="512"/>
      <c r="DB41" s="512"/>
      <c r="DC41" s="512"/>
      <c r="DD41" s="512"/>
      <c r="DE41" s="512"/>
      <c r="DF41" s="512"/>
      <c r="DG41" s="512"/>
      <c r="DH41" s="512"/>
      <c r="DI41" s="512"/>
      <c r="DJ41" s="512"/>
      <c r="DK41" s="512"/>
      <c r="DL41" s="512"/>
      <c r="DM41" s="512"/>
      <c r="DN41" s="512"/>
      <c r="DO41" s="512"/>
      <c r="DP41" s="512"/>
      <c r="DQ41" s="512"/>
      <c r="DR41" s="512"/>
      <c r="DS41" s="512"/>
      <c r="DT41" s="512"/>
      <c r="DU41" s="512"/>
      <c r="DV41" s="512"/>
      <c r="DW41" s="512"/>
      <c r="DX41" s="512"/>
      <c r="DY41" s="512"/>
      <c r="DZ41" s="512"/>
      <c r="EA41" s="512"/>
      <c r="EB41" s="512"/>
      <c r="EC41" s="512"/>
      <c r="ED41" s="512"/>
      <c r="EE41" s="512"/>
      <c r="EF41" s="512"/>
    </row>
    <row r="42" spans="2:136" s="190" customFormat="1" x14ac:dyDescent="0.25">
      <c r="B42" s="809"/>
      <c r="C42" s="810"/>
      <c r="D42" s="811"/>
      <c r="E42" s="12" t="s">
        <v>38</v>
      </c>
      <c r="F42" s="12" t="s">
        <v>40</v>
      </c>
      <c r="G42" s="12" t="s">
        <v>41</v>
      </c>
      <c r="H42" s="12" t="s">
        <v>42</v>
      </c>
      <c r="I42" s="12" t="s">
        <v>43</v>
      </c>
      <c r="J42" s="12" t="s">
        <v>44</v>
      </c>
      <c r="K42" s="12" t="s">
        <v>45</v>
      </c>
      <c r="L42" s="12" t="s">
        <v>46</v>
      </c>
      <c r="M42" s="12" t="s">
        <v>47</v>
      </c>
      <c r="N42" s="12" t="s">
        <v>48</v>
      </c>
      <c r="O42" s="512"/>
      <c r="P42" s="512"/>
      <c r="Q42" s="512"/>
      <c r="R42" s="512"/>
      <c r="S42" s="512"/>
      <c r="T42" s="512"/>
      <c r="U42" s="512"/>
      <c r="V42" s="512"/>
      <c r="W42" s="512"/>
      <c r="X42" s="512"/>
      <c r="Y42" s="512"/>
      <c r="Z42" s="512"/>
      <c r="AA42" s="512"/>
      <c r="AB42" s="512"/>
      <c r="AC42" s="512"/>
      <c r="AD42" s="512"/>
      <c r="AE42" s="512"/>
      <c r="AF42" s="512"/>
      <c r="AG42" s="512"/>
      <c r="AH42" s="512"/>
      <c r="AI42" s="512"/>
      <c r="AJ42" s="512"/>
      <c r="AK42" s="512"/>
      <c r="AL42" s="512"/>
      <c r="AM42" s="512"/>
      <c r="AN42" s="512"/>
      <c r="AO42" s="512"/>
      <c r="AP42" s="512"/>
      <c r="AQ42" s="512"/>
      <c r="AR42" s="512"/>
      <c r="AS42" s="512"/>
      <c r="AT42" s="512"/>
      <c r="AU42" s="512"/>
      <c r="AV42" s="512"/>
      <c r="AW42" s="512"/>
      <c r="AX42" s="512"/>
      <c r="AY42" s="512"/>
      <c r="AZ42" s="512"/>
      <c r="BA42" s="512"/>
      <c r="BB42" s="512"/>
      <c r="BC42" s="512"/>
      <c r="BD42" s="512"/>
      <c r="BE42" s="512"/>
      <c r="BF42" s="512"/>
      <c r="BG42" s="512"/>
      <c r="BH42" s="512"/>
      <c r="BI42" s="512"/>
      <c r="BJ42" s="512"/>
      <c r="BK42" s="512"/>
      <c r="BL42" s="512"/>
      <c r="BM42" s="512"/>
      <c r="BN42" s="512"/>
      <c r="BO42" s="512"/>
      <c r="BP42" s="512"/>
      <c r="BQ42" s="512"/>
      <c r="BR42" s="512"/>
      <c r="BS42" s="512"/>
      <c r="BT42" s="512"/>
      <c r="BU42" s="512"/>
      <c r="BV42" s="512"/>
      <c r="BW42" s="512"/>
      <c r="BX42" s="512"/>
      <c r="BY42" s="512"/>
      <c r="BZ42" s="512"/>
      <c r="CA42" s="512"/>
      <c r="CB42" s="512"/>
      <c r="CC42" s="512"/>
      <c r="CD42" s="512"/>
      <c r="CE42" s="512"/>
      <c r="CF42" s="512"/>
      <c r="CG42" s="512"/>
      <c r="CH42" s="512"/>
      <c r="CI42" s="512"/>
      <c r="CJ42" s="512"/>
      <c r="CK42" s="512"/>
      <c r="CL42" s="512"/>
      <c r="CM42" s="512"/>
      <c r="CN42" s="512"/>
      <c r="CO42" s="512"/>
      <c r="CP42" s="512"/>
      <c r="CQ42" s="512"/>
      <c r="CR42" s="512"/>
      <c r="CS42" s="512"/>
      <c r="CT42" s="512"/>
      <c r="CU42" s="512"/>
      <c r="CV42" s="512"/>
      <c r="CW42" s="512"/>
      <c r="CX42" s="512"/>
      <c r="CY42" s="512"/>
      <c r="CZ42" s="512"/>
      <c r="DA42" s="512"/>
      <c r="DB42" s="512"/>
      <c r="DC42" s="512"/>
      <c r="DD42" s="512"/>
      <c r="DE42" s="512"/>
      <c r="DF42" s="512"/>
      <c r="DG42" s="512"/>
      <c r="DH42" s="512"/>
      <c r="DI42" s="512"/>
      <c r="DJ42" s="512"/>
      <c r="DK42" s="512"/>
      <c r="DL42" s="512"/>
      <c r="DM42" s="512"/>
      <c r="DN42" s="512"/>
      <c r="DO42" s="512"/>
      <c r="DP42" s="512"/>
      <c r="DQ42" s="512"/>
      <c r="DR42" s="512"/>
      <c r="DS42" s="512"/>
      <c r="DT42" s="512"/>
      <c r="DU42" s="512"/>
      <c r="DV42" s="512"/>
      <c r="DW42" s="512"/>
      <c r="DX42" s="512"/>
      <c r="DY42" s="512"/>
      <c r="DZ42" s="512"/>
      <c r="EA42" s="512"/>
      <c r="EB42" s="512"/>
      <c r="EC42" s="512"/>
      <c r="ED42" s="512"/>
      <c r="EE42" s="512"/>
      <c r="EF42" s="512"/>
    </row>
    <row r="43" spans="2:136" s="190" customFormat="1" x14ac:dyDescent="0.25">
      <c r="B43" s="809" t="s">
        <v>490</v>
      </c>
      <c r="C43" s="810"/>
      <c r="D43" s="811"/>
      <c r="E43" s="509">
        <f>SUM(E39:P39)</f>
        <v>14391.140421432379</v>
      </c>
      <c r="F43" s="509">
        <f>SUM(Q39:AB39)</f>
        <v>15397.642659723622</v>
      </c>
      <c r="G43" s="509">
        <f>SUM(AC39:AN39)</f>
        <v>16475.477645904277</v>
      </c>
      <c r="H43" s="509">
        <f>SUM(AO39:AZ39)</f>
        <v>17628.76108111758</v>
      </c>
      <c r="I43" s="509">
        <f>SUM(BA39:BL39)</f>
        <v>18862.774356795813</v>
      </c>
      <c r="J43" s="509">
        <f>SUM(BM39:BX39)</f>
        <v>20183.168561771519</v>
      </c>
      <c r="K43" s="509">
        <f>SUM(BY39:CJ39)</f>
        <v>21595.99036109553</v>
      </c>
      <c r="L43" s="509">
        <f>SUM(CK39:CV39)</f>
        <v>23107.709686372218</v>
      </c>
      <c r="M43" s="509">
        <f>SUM(CW39:DH39)</f>
        <v>24725.249364418272</v>
      </c>
      <c r="N43" s="509">
        <f>SUM(DI39:DT39)</f>
        <v>26456.016819927554</v>
      </c>
      <c r="O43" s="512"/>
      <c r="P43" s="512"/>
      <c r="Q43" s="512"/>
      <c r="R43" s="512"/>
      <c r="S43" s="512"/>
      <c r="T43" s="512"/>
      <c r="U43" s="512"/>
      <c r="V43" s="512"/>
      <c r="W43" s="512"/>
      <c r="X43" s="512"/>
      <c r="Y43" s="512"/>
      <c r="Z43" s="512"/>
      <c r="AA43" s="512"/>
      <c r="AB43" s="512"/>
      <c r="AC43" s="512"/>
      <c r="AD43" s="512"/>
      <c r="AE43" s="512"/>
      <c r="AF43" s="512"/>
      <c r="AG43" s="512"/>
      <c r="AH43" s="512"/>
      <c r="AI43" s="512"/>
      <c r="AJ43" s="512"/>
      <c r="AK43" s="512"/>
      <c r="AL43" s="512"/>
      <c r="AM43" s="512"/>
      <c r="AN43" s="512"/>
      <c r="AO43" s="512"/>
      <c r="AP43" s="512"/>
      <c r="AQ43" s="512"/>
      <c r="AR43" s="512"/>
      <c r="AS43" s="512"/>
      <c r="AT43" s="512"/>
      <c r="AU43" s="512"/>
      <c r="AV43" s="512"/>
      <c r="AW43" s="512"/>
      <c r="AX43" s="512"/>
      <c r="AY43" s="512"/>
      <c r="AZ43" s="512"/>
      <c r="BA43" s="512"/>
      <c r="BB43" s="512"/>
      <c r="BC43" s="512"/>
      <c r="BD43" s="512"/>
      <c r="BE43" s="512"/>
      <c r="BF43" s="512"/>
      <c r="BG43" s="512"/>
      <c r="BH43" s="512"/>
      <c r="BI43" s="512"/>
      <c r="BJ43" s="512"/>
      <c r="BK43" s="512"/>
      <c r="BL43" s="512"/>
      <c r="BM43" s="512"/>
      <c r="BN43" s="512"/>
      <c r="BO43" s="512"/>
      <c r="BP43" s="512"/>
      <c r="BQ43" s="512"/>
      <c r="BR43" s="512"/>
      <c r="BS43" s="512"/>
      <c r="BT43" s="512"/>
      <c r="BU43" s="512"/>
      <c r="BV43" s="512"/>
      <c r="BW43" s="512"/>
      <c r="BX43" s="512"/>
      <c r="BY43" s="512"/>
      <c r="BZ43" s="512"/>
      <c r="CA43" s="512"/>
      <c r="CB43" s="512"/>
      <c r="CC43" s="512"/>
      <c r="CD43" s="512"/>
      <c r="CE43" s="512"/>
      <c r="CF43" s="512"/>
      <c r="CG43" s="512"/>
      <c r="CH43" s="512"/>
      <c r="CI43" s="512"/>
      <c r="CJ43" s="512"/>
      <c r="CK43" s="512"/>
      <c r="CL43" s="512"/>
      <c r="CM43" s="512"/>
      <c r="CN43" s="512"/>
      <c r="CO43" s="512"/>
      <c r="CP43" s="512"/>
      <c r="CQ43" s="512"/>
      <c r="CR43" s="512"/>
      <c r="CS43" s="512"/>
      <c r="CT43" s="512"/>
      <c r="CU43" s="512"/>
      <c r="CV43" s="512"/>
      <c r="CW43" s="512"/>
      <c r="CX43" s="512"/>
      <c r="CY43" s="512"/>
      <c r="CZ43" s="512"/>
      <c r="DA43" s="512"/>
      <c r="DB43" s="512"/>
      <c r="DC43" s="512"/>
      <c r="DD43" s="512"/>
      <c r="DE43" s="512"/>
      <c r="DF43" s="512"/>
      <c r="DG43" s="512"/>
      <c r="DH43" s="512"/>
      <c r="DI43" s="512"/>
      <c r="DJ43" s="512"/>
      <c r="DK43" s="512"/>
      <c r="DL43" s="512"/>
      <c r="DM43" s="512"/>
      <c r="DN43" s="512"/>
      <c r="DO43" s="512"/>
      <c r="DP43" s="512"/>
      <c r="DQ43" s="512"/>
      <c r="DR43" s="512"/>
      <c r="DS43" s="512"/>
      <c r="DT43" s="512"/>
      <c r="DU43" s="512"/>
      <c r="DV43" s="512"/>
      <c r="DW43" s="512"/>
      <c r="DX43" s="512"/>
      <c r="DY43" s="512"/>
      <c r="DZ43" s="512"/>
      <c r="EA43" s="512"/>
      <c r="EB43" s="512"/>
      <c r="EC43" s="512"/>
      <c r="ED43" s="512"/>
      <c r="EE43" s="512"/>
      <c r="EF43" s="512"/>
    </row>
    <row r="44" spans="2:136" x14ac:dyDescent="0.25">
      <c r="B44" s="506"/>
      <c r="C44" s="506"/>
      <c r="D44" s="506"/>
      <c r="E44" s="507"/>
      <c r="F44" s="507"/>
      <c r="G44" s="507"/>
      <c r="H44" s="507"/>
      <c r="I44" s="507"/>
      <c r="J44" s="507"/>
      <c r="K44" s="507"/>
      <c r="L44" s="507"/>
      <c r="M44" s="507"/>
      <c r="N44" s="507"/>
      <c r="O44" s="507"/>
      <c r="P44" s="507"/>
    </row>
    <row r="45" spans="2:136" x14ac:dyDescent="0.25">
      <c r="B45" s="506"/>
      <c r="C45" s="506"/>
      <c r="D45" s="506"/>
      <c r="E45" s="507"/>
      <c r="F45" s="507"/>
      <c r="G45" s="507"/>
      <c r="H45" s="507"/>
      <c r="I45" s="507"/>
      <c r="J45" s="507"/>
      <c r="K45" s="507"/>
      <c r="L45" s="507"/>
      <c r="M45" s="507"/>
      <c r="N45" s="507"/>
      <c r="O45" s="507"/>
      <c r="P45" s="507"/>
    </row>
    <row r="46" spans="2:136" x14ac:dyDescent="0.25">
      <c r="B46" s="506"/>
      <c r="C46" s="506"/>
      <c r="D46" s="506"/>
      <c r="E46" s="507"/>
      <c r="F46" s="507"/>
      <c r="G46" s="507"/>
      <c r="H46" s="507"/>
      <c r="I46" s="507"/>
      <c r="J46" s="507"/>
      <c r="K46" s="507"/>
      <c r="L46" s="507"/>
      <c r="M46" s="507"/>
      <c r="N46" s="507"/>
      <c r="O46" s="507"/>
      <c r="P46" s="507"/>
    </row>
    <row r="47" spans="2:136" x14ac:dyDescent="0.25">
      <c r="B47" s="506"/>
      <c r="C47" s="506"/>
      <c r="D47" s="506"/>
      <c r="E47" s="507"/>
      <c r="F47" s="507"/>
      <c r="G47" s="507"/>
      <c r="H47" s="507"/>
      <c r="I47" s="507"/>
      <c r="J47" s="507"/>
      <c r="K47" s="507"/>
      <c r="L47" s="507"/>
      <c r="M47" s="507"/>
      <c r="N47" s="507"/>
      <c r="O47" s="507"/>
      <c r="P47" s="507"/>
    </row>
  </sheetData>
  <mergeCells count="52">
    <mergeCell ref="B7:C7"/>
    <mergeCell ref="B8:C8"/>
    <mergeCell ref="B9:D9"/>
    <mergeCell ref="B6:C6"/>
    <mergeCell ref="E4:P4"/>
    <mergeCell ref="CW4:DH4"/>
    <mergeCell ref="DI4:DT4"/>
    <mergeCell ref="B5:C5"/>
    <mergeCell ref="BA4:BL4"/>
    <mergeCell ref="BM4:BX4"/>
    <mergeCell ref="Q4:AB4"/>
    <mergeCell ref="AC4:AN4"/>
    <mergeCell ref="AO4:AZ4"/>
    <mergeCell ref="BY4:CJ4"/>
    <mergeCell ref="CK4:CV4"/>
    <mergeCell ref="B11:D11"/>
    <mergeCell ref="B12:D12"/>
    <mergeCell ref="DI21:DT21"/>
    <mergeCell ref="B14:D14"/>
    <mergeCell ref="B15:D15"/>
    <mergeCell ref="E21:P21"/>
    <mergeCell ref="Q21:AB21"/>
    <mergeCell ref="AC21:AN21"/>
    <mergeCell ref="AO21:AZ21"/>
    <mergeCell ref="BA21:BL21"/>
    <mergeCell ref="BM21:BX21"/>
    <mergeCell ref="BY21:CJ21"/>
    <mergeCell ref="CK21:CV21"/>
    <mergeCell ref="CW21:DH21"/>
    <mergeCell ref="B13:D13"/>
    <mergeCell ref="B25:D25"/>
    <mergeCell ref="B28:D28"/>
    <mergeCell ref="B29:D29"/>
    <mergeCell ref="B30:D30"/>
    <mergeCell ref="E35:P35"/>
    <mergeCell ref="DI35:DT35"/>
    <mergeCell ref="DU35:EF35"/>
    <mergeCell ref="C36:D36"/>
    <mergeCell ref="C37:D37"/>
    <mergeCell ref="C38:D38"/>
    <mergeCell ref="AC35:AN35"/>
    <mergeCell ref="AO35:AZ35"/>
    <mergeCell ref="BA35:BL35"/>
    <mergeCell ref="BM35:BX35"/>
    <mergeCell ref="BY35:CJ35"/>
    <mergeCell ref="CK35:CV35"/>
    <mergeCell ref="Q35:AB35"/>
    <mergeCell ref="B39:D39"/>
    <mergeCell ref="B42:D42"/>
    <mergeCell ref="B43:D43"/>
    <mergeCell ref="B26:D26"/>
    <mergeCell ref="CW35:DH3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DV276"/>
  <sheetViews>
    <sheetView topLeftCell="A7" zoomScale="25" zoomScaleNormal="25" workbookViewId="0">
      <selection activeCell="F222" sqref="F222"/>
    </sheetView>
  </sheetViews>
  <sheetFormatPr baseColWidth="10" defaultColWidth="11" defaultRowHeight="12.75" x14ac:dyDescent="0.25"/>
  <cols>
    <col min="1" max="1" width="11" style="439"/>
    <col min="2" max="2" width="39.42578125" style="439" customWidth="1"/>
    <col min="3" max="3" width="16.28515625" style="439" customWidth="1"/>
    <col min="4" max="4" width="19.42578125" style="439" customWidth="1"/>
    <col min="5" max="5" width="11.42578125" style="439" customWidth="1"/>
    <col min="6" max="6" width="16.42578125" style="439" customWidth="1"/>
    <col min="7" max="7" width="10.5703125" style="439" customWidth="1"/>
    <col min="8" max="8" width="11.5703125" style="439" customWidth="1"/>
    <col min="9" max="9" width="13.7109375" style="439" customWidth="1"/>
    <col min="10" max="10" width="8.28515625" style="439" customWidth="1"/>
    <col min="11" max="14" width="11" style="439"/>
    <col min="15" max="15" width="8.28515625" style="439" customWidth="1"/>
    <col min="16" max="16" width="8" style="439" customWidth="1"/>
    <col min="17" max="17" width="13.42578125" style="439" customWidth="1"/>
    <col min="18" max="23" width="11" style="439"/>
    <col min="24" max="24" width="9.140625" style="439" customWidth="1"/>
    <col min="25" max="25" width="9.5703125" style="439" customWidth="1"/>
    <col min="26" max="26" width="11.7109375" style="439" bestFit="1" customWidth="1"/>
    <col min="27" max="28" width="11" style="439"/>
    <col min="29" max="29" width="13.42578125" style="439" customWidth="1"/>
    <col min="30" max="35" width="11" style="439"/>
    <col min="36" max="36" width="13.7109375" style="439" customWidth="1"/>
    <col min="37" max="40" width="11" style="439"/>
    <col min="41" max="41" width="13" style="439" customWidth="1"/>
    <col min="42" max="52" width="11" style="439"/>
    <col min="53" max="53" width="12.140625" style="439" customWidth="1"/>
    <col min="54" max="64" width="11" style="439"/>
    <col min="65" max="65" width="13" style="439" customWidth="1"/>
    <col min="66" max="76" width="11" style="439"/>
    <col min="77" max="77" width="12.5703125" style="439" customWidth="1"/>
    <col min="78" max="88" width="11" style="439"/>
    <col min="89" max="89" width="13.7109375" style="439" customWidth="1"/>
    <col min="90" max="100" width="11" style="439"/>
    <col min="101" max="101" width="12.28515625" style="439" customWidth="1"/>
    <col min="102" max="112" width="11" style="439"/>
    <col min="113" max="113" width="12.42578125" style="439" customWidth="1"/>
    <col min="114" max="16384" width="11" style="439"/>
  </cols>
  <sheetData>
    <row r="3" spans="2:124" x14ac:dyDescent="0.25">
      <c r="B3" s="776" t="s">
        <v>165</v>
      </c>
      <c r="C3" s="777"/>
      <c r="D3" s="777"/>
      <c r="E3" s="777"/>
      <c r="F3" s="777"/>
      <c r="G3" s="777"/>
      <c r="H3" s="777"/>
      <c r="I3" s="777"/>
      <c r="J3" s="777"/>
      <c r="K3" s="777"/>
      <c r="L3" s="778"/>
    </row>
    <row r="4" spans="2:124" x14ac:dyDescent="0.25"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90"/>
      <c r="Z4" s="190"/>
      <c r="AA4" s="190"/>
      <c r="AB4" s="190"/>
      <c r="AC4" s="190"/>
      <c r="AD4" s="190"/>
      <c r="AE4" s="190"/>
      <c r="AF4" s="190"/>
      <c r="AG4" s="190"/>
      <c r="AH4" s="190"/>
      <c r="AI4" s="190"/>
      <c r="AJ4" s="190"/>
      <c r="AK4" s="190"/>
      <c r="AL4" s="190"/>
      <c r="AM4" s="190"/>
    </row>
    <row r="5" spans="2:124" ht="27" customHeight="1" x14ac:dyDescent="0.25">
      <c r="B5" s="300" t="s">
        <v>166</v>
      </c>
      <c r="C5" s="194"/>
      <c r="E5" s="195" t="s">
        <v>167</v>
      </c>
      <c r="F5" s="196" t="s">
        <v>168</v>
      </c>
      <c r="I5" s="193" t="s">
        <v>176</v>
      </c>
      <c r="J5" s="306">
        <f>I8+I9</f>
        <v>406195.92</v>
      </c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  <c r="AB5" s="190"/>
      <c r="AC5" s="190"/>
      <c r="AD5" s="190"/>
      <c r="AE5" s="190"/>
      <c r="AF5" s="190"/>
      <c r="AG5" s="190"/>
      <c r="AH5" s="190"/>
      <c r="AI5" s="190"/>
      <c r="AJ5" s="190"/>
      <c r="AK5" s="190"/>
    </row>
    <row r="6" spans="2:124" x14ac:dyDescent="0.25"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0"/>
      <c r="AA6" s="190"/>
      <c r="AB6" s="190"/>
      <c r="AC6" s="190"/>
      <c r="AD6" s="190"/>
      <c r="AE6" s="190"/>
      <c r="AF6" s="190"/>
      <c r="AG6" s="190"/>
      <c r="AH6" s="190"/>
      <c r="AI6" s="190"/>
      <c r="AJ6" s="190"/>
      <c r="AK6" s="190"/>
    </row>
    <row r="7" spans="2:124" x14ac:dyDescent="0.25">
      <c r="B7" s="301" t="s">
        <v>178</v>
      </c>
      <c r="C7" s="302" t="s">
        <v>154</v>
      </c>
      <c r="E7" s="196" t="s">
        <v>169</v>
      </c>
      <c r="F7" s="303" t="s">
        <v>555</v>
      </c>
      <c r="G7" s="196" t="s">
        <v>170</v>
      </c>
      <c r="H7" s="196" t="s">
        <v>71</v>
      </c>
      <c r="I7" s="431" t="s">
        <v>72</v>
      </c>
      <c r="J7" s="776" t="s">
        <v>180</v>
      </c>
      <c r="K7" s="778"/>
      <c r="M7" s="190"/>
      <c r="N7" s="201" t="s">
        <v>0</v>
      </c>
      <c r="O7" s="201" t="s">
        <v>1</v>
      </c>
      <c r="P7" s="201" t="s">
        <v>49</v>
      </c>
      <c r="Q7" s="201" t="s">
        <v>50</v>
      </c>
      <c r="R7" s="201" t="s">
        <v>51</v>
      </c>
      <c r="S7" s="201" t="s">
        <v>52</v>
      </c>
      <c r="T7" s="201" t="s">
        <v>53</v>
      </c>
      <c r="U7" s="201" t="s">
        <v>54</v>
      </c>
      <c r="V7" s="201" t="s">
        <v>55</v>
      </c>
      <c r="W7" s="201" t="s">
        <v>56</v>
      </c>
      <c r="X7" s="201" t="s">
        <v>57</v>
      </c>
      <c r="Y7" s="201" t="s">
        <v>58</v>
      </c>
      <c r="Z7" s="190"/>
      <c r="AA7" s="190"/>
      <c r="AB7" s="432" t="s">
        <v>2</v>
      </c>
      <c r="AC7" s="432" t="s">
        <v>14</v>
      </c>
      <c r="AD7" s="432" t="s">
        <v>15</v>
      </c>
      <c r="AE7" s="432" t="s">
        <v>16</v>
      </c>
      <c r="AF7" s="432" t="s">
        <v>17</v>
      </c>
      <c r="AG7" s="432" t="s">
        <v>18</v>
      </c>
      <c r="AH7" s="432" t="s">
        <v>19</v>
      </c>
      <c r="AI7" s="432" t="s">
        <v>20</v>
      </c>
      <c r="AJ7" s="432" t="s">
        <v>21</v>
      </c>
      <c r="AK7" s="432" t="s">
        <v>22</v>
      </c>
    </row>
    <row r="8" spans="2:124" x14ac:dyDescent="0.25">
      <c r="B8" s="463" t="s">
        <v>553</v>
      </c>
      <c r="C8" s="191" t="s">
        <v>554</v>
      </c>
      <c r="E8" s="184">
        <v>962.5</v>
      </c>
      <c r="F8" s="184" t="s">
        <v>171</v>
      </c>
      <c r="G8" s="184">
        <f>22176/E8</f>
        <v>23.04</v>
      </c>
      <c r="H8" s="184">
        <f>E8*G8</f>
        <v>22176</v>
      </c>
      <c r="I8" s="184">
        <f>H8*12</f>
        <v>266112</v>
      </c>
      <c r="J8" s="184" t="s">
        <v>172</v>
      </c>
      <c r="K8" s="184" t="s">
        <v>173</v>
      </c>
      <c r="M8" s="190"/>
      <c r="N8" s="433">
        <f>$H$8</f>
        <v>22176</v>
      </c>
      <c r="O8" s="433">
        <f t="shared" ref="O8:Y8" si="0">$H$8</f>
        <v>22176</v>
      </c>
      <c r="P8" s="433">
        <f t="shared" si="0"/>
        <v>22176</v>
      </c>
      <c r="Q8" s="433">
        <f t="shared" si="0"/>
        <v>22176</v>
      </c>
      <c r="R8" s="433">
        <f t="shared" si="0"/>
        <v>22176</v>
      </c>
      <c r="S8" s="433">
        <f t="shared" si="0"/>
        <v>22176</v>
      </c>
      <c r="T8" s="433">
        <f t="shared" si="0"/>
        <v>22176</v>
      </c>
      <c r="U8" s="433">
        <f t="shared" si="0"/>
        <v>22176</v>
      </c>
      <c r="V8" s="433">
        <f t="shared" si="0"/>
        <v>22176</v>
      </c>
      <c r="W8" s="433">
        <f t="shared" si="0"/>
        <v>22176</v>
      </c>
      <c r="X8" s="433">
        <f t="shared" si="0"/>
        <v>22176</v>
      </c>
      <c r="Y8" s="433">
        <f t="shared" si="0"/>
        <v>22176</v>
      </c>
      <c r="Z8" s="190"/>
      <c r="AA8" s="190"/>
      <c r="AB8" s="184">
        <f>SUM(N8:Y8)</f>
        <v>266112</v>
      </c>
      <c r="AC8" s="184">
        <f>AB8*1.05</f>
        <v>279417.60000000003</v>
      </c>
      <c r="AD8" s="184">
        <f>AC8*1.05</f>
        <v>293388.48000000004</v>
      </c>
      <c r="AE8" s="184">
        <f t="shared" ref="AE8:AK8" si="1">AD8*1.05</f>
        <v>308057.90400000004</v>
      </c>
      <c r="AF8" s="184">
        <f t="shared" si="1"/>
        <v>323460.79920000007</v>
      </c>
      <c r="AG8" s="184">
        <f t="shared" si="1"/>
        <v>339633.83916000009</v>
      </c>
      <c r="AH8" s="184">
        <f t="shared" si="1"/>
        <v>356615.5311180001</v>
      </c>
      <c r="AI8" s="184">
        <f t="shared" si="1"/>
        <v>374446.3076739001</v>
      </c>
      <c r="AJ8" s="184">
        <f t="shared" si="1"/>
        <v>393168.6230575951</v>
      </c>
      <c r="AK8" s="184">
        <f t="shared" si="1"/>
        <v>412827.05421047489</v>
      </c>
    </row>
    <row r="9" spans="2:124" ht="15.75" customHeight="1" x14ac:dyDescent="0.25">
      <c r="B9" s="463" t="s">
        <v>654</v>
      </c>
      <c r="C9" s="191" t="s">
        <v>469</v>
      </c>
      <c r="E9" s="184">
        <v>29</v>
      </c>
      <c r="F9" s="184" t="s">
        <v>174</v>
      </c>
      <c r="G9" s="184">
        <v>402.54</v>
      </c>
      <c r="H9" s="184">
        <f>G9*E9</f>
        <v>11673.66</v>
      </c>
      <c r="I9" s="184">
        <f>H9*12</f>
        <v>140083.91999999998</v>
      </c>
      <c r="J9" s="184" t="s">
        <v>172</v>
      </c>
      <c r="K9" s="184" t="s">
        <v>173</v>
      </c>
      <c r="M9" s="190"/>
      <c r="N9" s="434">
        <f>$H$9</f>
        <v>11673.66</v>
      </c>
      <c r="O9" s="434">
        <f t="shared" ref="O9:Y9" si="2">$H$9</f>
        <v>11673.66</v>
      </c>
      <c r="P9" s="434">
        <f t="shared" si="2"/>
        <v>11673.66</v>
      </c>
      <c r="Q9" s="434">
        <f t="shared" si="2"/>
        <v>11673.66</v>
      </c>
      <c r="R9" s="434">
        <f t="shared" si="2"/>
        <v>11673.66</v>
      </c>
      <c r="S9" s="434">
        <f t="shared" si="2"/>
        <v>11673.66</v>
      </c>
      <c r="T9" s="434">
        <f t="shared" si="2"/>
        <v>11673.66</v>
      </c>
      <c r="U9" s="434">
        <f t="shared" si="2"/>
        <v>11673.66</v>
      </c>
      <c r="V9" s="434">
        <f t="shared" si="2"/>
        <v>11673.66</v>
      </c>
      <c r="W9" s="434">
        <f t="shared" si="2"/>
        <v>11673.66</v>
      </c>
      <c r="X9" s="434">
        <f t="shared" si="2"/>
        <v>11673.66</v>
      </c>
      <c r="Y9" s="434">
        <f t="shared" si="2"/>
        <v>11673.66</v>
      </c>
      <c r="Z9" s="190"/>
      <c r="AA9" s="190"/>
      <c r="AB9" s="184">
        <f>SUM(N9:Y9)</f>
        <v>140083.92000000001</v>
      </c>
      <c r="AC9" s="184">
        <f>$AB$9</f>
        <v>140083.92000000001</v>
      </c>
      <c r="AD9" s="184">
        <f t="shared" ref="AD9:AK9" si="3">$AB$9</f>
        <v>140083.92000000001</v>
      </c>
      <c r="AE9" s="184">
        <f t="shared" si="3"/>
        <v>140083.92000000001</v>
      </c>
      <c r="AF9" s="184">
        <f t="shared" si="3"/>
        <v>140083.92000000001</v>
      </c>
      <c r="AG9" s="184">
        <f t="shared" si="3"/>
        <v>140083.92000000001</v>
      </c>
      <c r="AH9" s="184">
        <f t="shared" si="3"/>
        <v>140083.92000000001</v>
      </c>
      <c r="AI9" s="184">
        <f t="shared" si="3"/>
        <v>140083.92000000001</v>
      </c>
      <c r="AJ9" s="184">
        <f t="shared" si="3"/>
        <v>140083.92000000001</v>
      </c>
      <c r="AK9" s="184">
        <f t="shared" si="3"/>
        <v>140083.92000000001</v>
      </c>
    </row>
    <row r="10" spans="2:124" ht="15.75" customHeight="1" x14ac:dyDescent="0.25">
      <c r="B10" s="464"/>
      <c r="C10" s="435"/>
      <c r="E10" s="435"/>
      <c r="F10" s="435"/>
      <c r="G10" s="436"/>
      <c r="H10" s="436"/>
      <c r="I10" s="436"/>
      <c r="J10" s="435"/>
      <c r="K10" s="435"/>
      <c r="M10" s="12" t="s">
        <v>114</v>
      </c>
      <c r="N10" s="12">
        <f>SUM(N8:N9)</f>
        <v>33849.660000000003</v>
      </c>
      <c r="O10" s="12">
        <f t="shared" ref="O10:Y10" si="4">SUM(O8:O9)</f>
        <v>33849.660000000003</v>
      </c>
      <c r="P10" s="12">
        <f t="shared" si="4"/>
        <v>33849.660000000003</v>
      </c>
      <c r="Q10" s="12">
        <f t="shared" si="4"/>
        <v>33849.660000000003</v>
      </c>
      <c r="R10" s="12">
        <f t="shared" si="4"/>
        <v>33849.660000000003</v>
      </c>
      <c r="S10" s="12">
        <f t="shared" si="4"/>
        <v>33849.660000000003</v>
      </c>
      <c r="T10" s="12">
        <f t="shared" si="4"/>
        <v>33849.660000000003</v>
      </c>
      <c r="U10" s="12">
        <f t="shared" si="4"/>
        <v>33849.660000000003</v>
      </c>
      <c r="V10" s="12">
        <f t="shared" si="4"/>
        <v>33849.660000000003</v>
      </c>
      <c r="W10" s="12">
        <f t="shared" si="4"/>
        <v>33849.660000000003</v>
      </c>
      <c r="X10" s="12">
        <f t="shared" si="4"/>
        <v>33849.660000000003</v>
      </c>
      <c r="Y10" s="12">
        <f t="shared" si="4"/>
        <v>33849.660000000003</v>
      </c>
      <c r="Z10" s="12">
        <f>SUM(N10:Y10)</f>
        <v>406195.92000000016</v>
      </c>
      <c r="AA10" s="190"/>
      <c r="AB10" s="12">
        <f>SUM(AB8:AB9)</f>
        <v>406195.92000000004</v>
      </c>
      <c r="AC10" s="12">
        <f t="shared" ref="AC10:AK10" si="5">SUM(AC8:AC9)</f>
        <v>419501.52</v>
      </c>
      <c r="AD10" s="12">
        <f t="shared" si="5"/>
        <v>433472.4</v>
      </c>
      <c r="AE10" s="12">
        <f t="shared" si="5"/>
        <v>448141.82400000002</v>
      </c>
      <c r="AF10" s="12">
        <f t="shared" si="5"/>
        <v>463544.71920000005</v>
      </c>
      <c r="AG10" s="12">
        <f t="shared" si="5"/>
        <v>479717.75916000013</v>
      </c>
      <c r="AH10" s="12">
        <f t="shared" si="5"/>
        <v>496699.45111800008</v>
      </c>
      <c r="AI10" s="12">
        <f t="shared" si="5"/>
        <v>514530.22767390008</v>
      </c>
      <c r="AJ10" s="12">
        <f t="shared" si="5"/>
        <v>533252.54305759515</v>
      </c>
      <c r="AK10" s="12">
        <f t="shared" si="5"/>
        <v>552910.97421047487</v>
      </c>
    </row>
    <row r="11" spans="2:124" x14ac:dyDescent="0.25">
      <c r="M11" s="190"/>
      <c r="N11" s="437"/>
      <c r="O11" s="190"/>
      <c r="P11" s="190"/>
      <c r="Q11" s="190"/>
      <c r="R11" s="190"/>
      <c r="S11" s="190"/>
      <c r="T11" s="190"/>
      <c r="U11" s="190"/>
      <c r="V11" s="190"/>
      <c r="W11" s="190"/>
      <c r="X11" s="190"/>
      <c r="Y11" s="190"/>
      <c r="Z11" s="190"/>
      <c r="AA11" s="190"/>
      <c r="AB11" s="190"/>
      <c r="AC11" s="190"/>
      <c r="AD11" s="190"/>
      <c r="AE11" s="190"/>
      <c r="AF11" s="190"/>
      <c r="AG11" s="190"/>
      <c r="AH11" s="190"/>
      <c r="AI11" s="190"/>
      <c r="AJ11" s="190"/>
      <c r="AK11" s="190"/>
    </row>
    <row r="12" spans="2:124" ht="24.75" customHeight="1" x14ac:dyDescent="0.25">
      <c r="B12" s="300" t="s">
        <v>175</v>
      </c>
      <c r="E12" s="195" t="s">
        <v>167</v>
      </c>
      <c r="F12" s="196" t="s">
        <v>168</v>
      </c>
      <c r="I12" s="193" t="s">
        <v>176</v>
      </c>
      <c r="J12" s="306">
        <f>Z23+Z42+Z65+Z73</f>
        <v>47186.04468474575</v>
      </c>
    </row>
    <row r="14" spans="2:124" x14ac:dyDescent="0.25">
      <c r="B14" s="465" t="s">
        <v>177</v>
      </c>
    </row>
    <row r="16" spans="2:124" x14ac:dyDescent="0.25">
      <c r="B16" s="301" t="s">
        <v>178</v>
      </c>
      <c r="C16" s="302" t="s">
        <v>154</v>
      </c>
      <c r="E16" s="300" t="s">
        <v>169</v>
      </c>
      <c r="F16" s="300" t="s">
        <v>555</v>
      </c>
      <c r="G16" s="300" t="s">
        <v>170</v>
      </c>
      <c r="H16" s="300" t="s">
        <v>71</v>
      </c>
      <c r="I16" s="300" t="s">
        <v>179</v>
      </c>
      <c r="J16" s="780" t="s">
        <v>180</v>
      </c>
      <c r="K16" s="780"/>
      <c r="M16" s="190"/>
      <c r="N16" s="432" t="s">
        <v>0</v>
      </c>
      <c r="O16" s="432" t="s">
        <v>1</v>
      </c>
      <c r="P16" s="432" t="s">
        <v>49</v>
      </c>
      <c r="Q16" s="432" t="s">
        <v>50</v>
      </c>
      <c r="R16" s="432" t="s">
        <v>51</v>
      </c>
      <c r="S16" s="432" t="s">
        <v>52</v>
      </c>
      <c r="T16" s="432" t="s">
        <v>53</v>
      </c>
      <c r="U16" s="432" t="s">
        <v>54</v>
      </c>
      <c r="V16" s="432" t="s">
        <v>55</v>
      </c>
      <c r="W16" s="432" t="s">
        <v>56</v>
      </c>
      <c r="X16" s="432" t="s">
        <v>57</v>
      </c>
      <c r="Y16" s="432" t="s">
        <v>58</v>
      </c>
      <c r="Z16" s="190"/>
      <c r="AA16" s="190"/>
      <c r="AB16" s="432" t="s">
        <v>2</v>
      </c>
      <c r="AC16" s="432" t="s">
        <v>14</v>
      </c>
      <c r="AD16" s="432" t="s">
        <v>15</v>
      </c>
      <c r="AE16" s="432" t="s">
        <v>16</v>
      </c>
      <c r="AF16" s="432" t="s">
        <v>17</v>
      </c>
      <c r="AG16" s="432" t="s">
        <v>18</v>
      </c>
      <c r="AH16" s="432" t="s">
        <v>19</v>
      </c>
      <c r="AI16" s="432" t="s">
        <v>20</v>
      </c>
      <c r="AJ16" s="432" t="s">
        <v>21</v>
      </c>
      <c r="AK16" s="432" t="s">
        <v>22</v>
      </c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</row>
    <row r="17" spans="2:124" x14ac:dyDescent="0.25">
      <c r="B17" s="466" t="s">
        <v>181</v>
      </c>
      <c r="C17" s="206" t="s">
        <v>182</v>
      </c>
      <c r="E17" s="184">
        <v>1</v>
      </c>
      <c r="F17" s="184" t="s">
        <v>183</v>
      </c>
      <c r="G17" s="184">
        <v>600</v>
      </c>
      <c r="H17" s="184">
        <f t="shared" ref="H17:H22" si="6">G17*E17</f>
        <v>600</v>
      </c>
      <c r="I17" s="184">
        <f t="shared" ref="I17:I22" si="7">H17*12</f>
        <v>7200</v>
      </c>
      <c r="J17" s="184" t="s">
        <v>172</v>
      </c>
      <c r="K17" s="184" t="s">
        <v>173</v>
      </c>
      <c r="M17" s="190"/>
      <c r="N17" s="184">
        <f>$H$17</f>
        <v>600</v>
      </c>
      <c r="O17" s="184">
        <f t="shared" ref="O17:Y17" si="8">$H$17</f>
        <v>600</v>
      </c>
      <c r="P17" s="184">
        <f t="shared" si="8"/>
        <v>600</v>
      </c>
      <c r="Q17" s="184">
        <f t="shared" si="8"/>
        <v>600</v>
      </c>
      <c r="R17" s="184">
        <f t="shared" si="8"/>
        <v>600</v>
      </c>
      <c r="S17" s="184">
        <f t="shared" si="8"/>
        <v>600</v>
      </c>
      <c r="T17" s="184">
        <f t="shared" si="8"/>
        <v>600</v>
      </c>
      <c r="U17" s="184">
        <f t="shared" si="8"/>
        <v>600</v>
      </c>
      <c r="V17" s="184">
        <f t="shared" si="8"/>
        <v>600</v>
      </c>
      <c r="W17" s="184">
        <f t="shared" si="8"/>
        <v>600</v>
      </c>
      <c r="X17" s="184">
        <f t="shared" si="8"/>
        <v>600</v>
      </c>
      <c r="Y17" s="184">
        <f t="shared" si="8"/>
        <v>600</v>
      </c>
      <c r="Z17" s="190"/>
      <c r="AA17" s="190"/>
      <c r="AB17" s="184">
        <f t="shared" ref="AB17:AB23" si="9">SUM(N17:Y17)</f>
        <v>7200</v>
      </c>
      <c r="AC17" s="184">
        <f>$AB$17</f>
        <v>7200</v>
      </c>
      <c r="AD17" s="184">
        <f t="shared" ref="AD17:AK17" si="10">$AB$17</f>
        <v>7200</v>
      </c>
      <c r="AE17" s="184">
        <f t="shared" si="10"/>
        <v>7200</v>
      </c>
      <c r="AF17" s="184">
        <f t="shared" si="10"/>
        <v>7200</v>
      </c>
      <c r="AG17" s="184">
        <f t="shared" si="10"/>
        <v>7200</v>
      </c>
      <c r="AH17" s="184">
        <f t="shared" si="10"/>
        <v>7200</v>
      </c>
      <c r="AI17" s="184">
        <f t="shared" si="10"/>
        <v>7200</v>
      </c>
      <c r="AJ17" s="184">
        <f t="shared" si="10"/>
        <v>7200</v>
      </c>
      <c r="AK17" s="184">
        <f t="shared" si="10"/>
        <v>7200</v>
      </c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</row>
    <row r="18" spans="2:124" x14ac:dyDescent="0.25">
      <c r="B18" s="451" t="s">
        <v>184</v>
      </c>
      <c r="C18" s="191"/>
      <c r="E18" s="184">
        <v>1</v>
      </c>
      <c r="F18" s="184" t="s">
        <v>183</v>
      </c>
      <c r="G18" s="184">
        <v>1200</v>
      </c>
      <c r="H18" s="184">
        <f t="shared" si="6"/>
        <v>1200</v>
      </c>
      <c r="I18" s="184">
        <f t="shared" si="7"/>
        <v>14400</v>
      </c>
      <c r="J18" s="184" t="s">
        <v>172</v>
      </c>
      <c r="K18" s="184" t="s">
        <v>173</v>
      </c>
      <c r="M18" s="190"/>
      <c r="N18" s="184">
        <f>$H$18</f>
        <v>1200</v>
      </c>
      <c r="O18" s="184">
        <f t="shared" ref="O18:Y18" si="11">$H$18</f>
        <v>1200</v>
      </c>
      <c r="P18" s="184">
        <f t="shared" si="11"/>
        <v>1200</v>
      </c>
      <c r="Q18" s="184">
        <f t="shared" si="11"/>
        <v>1200</v>
      </c>
      <c r="R18" s="184">
        <f t="shared" si="11"/>
        <v>1200</v>
      </c>
      <c r="S18" s="184">
        <f t="shared" si="11"/>
        <v>1200</v>
      </c>
      <c r="T18" s="184">
        <f t="shared" si="11"/>
        <v>1200</v>
      </c>
      <c r="U18" s="184">
        <f t="shared" si="11"/>
        <v>1200</v>
      </c>
      <c r="V18" s="184">
        <f t="shared" si="11"/>
        <v>1200</v>
      </c>
      <c r="W18" s="184">
        <f t="shared" si="11"/>
        <v>1200</v>
      </c>
      <c r="X18" s="184">
        <f t="shared" si="11"/>
        <v>1200</v>
      </c>
      <c r="Y18" s="184">
        <f t="shared" si="11"/>
        <v>1200</v>
      </c>
      <c r="Z18" s="190"/>
      <c r="AA18" s="190"/>
      <c r="AB18" s="184">
        <f t="shared" si="9"/>
        <v>14400</v>
      </c>
      <c r="AC18" s="184">
        <f>$AB$18</f>
        <v>14400</v>
      </c>
      <c r="AD18" s="184">
        <f t="shared" ref="AD18:AK18" si="12">$AB$18</f>
        <v>14400</v>
      </c>
      <c r="AE18" s="184">
        <f t="shared" si="12"/>
        <v>14400</v>
      </c>
      <c r="AF18" s="184">
        <f t="shared" si="12"/>
        <v>14400</v>
      </c>
      <c r="AG18" s="184">
        <f t="shared" si="12"/>
        <v>14400</v>
      </c>
      <c r="AH18" s="184">
        <f t="shared" si="12"/>
        <v>14400</v>
      </c>
      <c r="AI18" s="184">
        <f t="shared" si="12"/>
        <v>14400</v>
      </c>
      <c r="AJ18" s="184">
        <f t="shared" si="12"/>
        <v>14400</v>
      </c>
      <c r="AK18" s="184">
        <f t="shared" si="12"/>
        <v>14400</v>
      </c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</row>
    <row r="19" spans="2:124" x14ac:dyDescent="0.25">
      <c r="B19" s="451" t="s">
        <v>185</v>
      </c>
      <c r="C19" s="191" t="s">
        <v>186</v>
      </c>
      <c r="E19" s="184">
        <v>2</v>
      </c>
      <c r="F19" s="184" t="s">
        <v>183</v>
      </c>
      <c r="G19" s="184">
        <v>55</v>
      </c>
      <c r="H19" s="184">
        <f t="shared" si="6"/>
        <v>110</v>
      </c>
      <c r="I19" s="184">
        <f t="shared" si="7"/>
        <v>1320</v>
      </c>
      <c r="J19" s="184" t="s">
        <v>172</v>
      </c>
      <c r="K19" s="184" t="s">
        <v>187</v>
      </c>
      <c r="M19" s="190"/>
      <c r="N19" s="184">
        <f>$H$19</f>
        <v>110</v>
      </c>
      <c r="O19" s="184">
        <f t="shared" ref="O19:Y19" si="13">$H$19</f>
        <v>110</v>
      </c>
      <c r="P19" s="184">
        <f t="shared" si="13"/>
        <v>110</v>
      </c>
      <c r="Q19" s="184">
        <f t="shared" si="13"/>
        <v>110</v>
      </c>
      <c r="R19" s="184">
        <f t="shared" si="13"/>
        <v>110</v>
      </c>
      <c r="S19" s="184">
        <f t="shared" si="13"/>
        <v>110</v>
      </c>
      <c r="T19" s="184">
        <f t="shared" si="13"/>
        <v>110</v>
      </c>
      <c r="U19" s="184">
        <f t="shared" si="13"/>
        <v>110</v>
      </c>
      <c r="V19" s="184">
        <f t="shared" si="13"/>
        <v>110</v>
      </c>
      <c r="W19" s="184">
        <f t="shared" si="13"/>
        <v>110</v>
      </c>
      <c r="X19" s="184">
        <f t="shared" si="13"/>
        <v>110</v>
      </c>
      <c r="Y19" s="184">
        <f t="shared" si="13"/>
        <v>110</v>
      </c>
      <c r="Z19" s="190"/>
      <c r="AA19" s="190"/>
      <c r="AB19" s="184">
        <f t="shared" si="9"/>
        <v>1320</v>
      </c>
      <c r="AC19" s="184">
        <f>$AB$19</f>
        <v>1320</v>
      </c>
      <c r="AD19" s="184">
        <f t="shared" ref="AD19:AK19" si="14">$AB$19</f>
        <v>1320</v>
      </c>
      <c r="AE19" s="184">
        <f t="shared" si="14"/>
        <v>1320</v>
      </c>
      <c r="AF19" s="184">
        <f t="shared" si="14"/>
        <v>1320</v>
      </c>
      <c r="AG19" s="184">
        <f t="shared" si="14"/>
        <v>1320</v>
      </c>
      <c r="AH19" s="184">
        <f t="shared" si="14"/>
        <v>1320</v>
      </c>
      <c r="AI19" s="184">
        <f t="shared" si="14"/>
        <v>1320</v>
      </c>
      <c r="AJ19" s="184">
        <f t="shared" si="14"/>
        <v>1320</v>
      </c>
      <c r="AK19" s="184">
        <f t="shared" si="14"/>
        <v>1320</v>
      </c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</row>
    <row r="20" spans="2:124" x14ac:dyDescent="0.25">
      <c r="B20" s="451" t="s">
        <v>188</v>
      </c>
      <c r="C20" s="191" t="s">
        <v>189</v>
      </c>
      <c r="E20" s="184">
        <v>1</v>
      </c>
      <c r="F20" s="184" t="s">
        <v>183</v>
      </c>
      <c r="G20" s="184">
        <f>219/1.18</f>
        <v>185.59322033898306</v>
      </c>
      <c r="H20" s="184">
        <f t="shared" si="6"/>
        <v>185.59322033898306</v>
      </c>
      <c r="I20" s="184">
        <f t="shared" si="7"/>
        <v>2227.1186440677966</v>
      </c>
      <c r="J20" s="184" t="s">
        <v>172</v>
      </c>
      <c r="K20" s="184" t="s">
        <v>173</v>
      </c>
      <c r="M20" s="190"/>
      <c r="N20" s="184">
        <f>$H$20</f>
        <v>185.59322033898306</v>
      </c>
      <c r="O20" s="184">
        <f t="shared" ref="O20:Y20" si="15">$H$20</f>
        <v>185.59322033898306</v>
      </c>
      <c r="P20" s="184">
        <f t="shared" si="15"/>
        <v>185.59322033898306</v>
      </c>
      <c r="Q20" s="184">
        <f t="shared" si="15"/>
        <v>185.59322033898306</v>
      </c>
      <c r="R20" s="184">
        <f t="shared" si="15"/>
        <v>185.59322033898306</v>
      </c>
      <c r="S20" s="184">
        <f t="shared" si="15"/>
        <v>185.59322033898306</v>
      </c>
      <c r="T20" s="184">
        <f t="shared" si="15"/>
        <v>185.59322033898306</v>
      </c>
      <c r="U20" s="184">
        <f t="shared" si="15"/>
        <v>185.59322033898306</v>
      </c>
      <c r="V20" s="184">
        <f t="shared" si="15"/>
        <v>185.59322033898306</v>
      </c>
      <c r="W20" s="184">
        <f t="shared" si="15"/>
        <v>185.59322033898306</v>
      </c>
      <c r="X20" s="184">
        <f t="shared" si="15"/>
        <v>185.59322033898306</v>
      </c>
      <c r="Y20" s="184">
        <f t="shared" si="15"/>
        <v>185.59322033898306</v>
      </c>
      <c r="Z20" s="190"/>
      <c r="AA20" s="190"/>
      <c r="AB20" s="184">
        <f t="shared" si="9"/>
        <v>2227.1186440677961</v>
      </c>
      <c r="AC20" s="184">
        <f>$AB$20</f>
        <v>2227.1186440677961</v>
      </c>
      <c r="AD20" s="184">
        <f t="shared" ref="AD20:AK20" si="16">$AB$20</f>
        <v>2227.1186440677961</v>
      </c>
      <c r="AE20" s="184">
        <f t="shared" si="16"/>
        <v>2227.1186440677961</v>
      </c>
      <c r="AF20" s="184">
        <f t="shared" si="16"/>
        <v>2227.1186440677961</v>
      </c>
      <c r="AG20" s="184">
        <f t="shared" si="16"/>
        <v>2227.1186440677961</v>
      </c>
      <c r="AH20" s="184">
        <f t="shared" si="16"/>
        <v>2227.1186440677961</v>
      </c>
      <c r="AI20" s="184">
        <f t="shared" si="16"/>
        <v>2227.1186440677961</v>
      </c>
      <c r="AJ20" s="184">
        <f t="shared" si="16"/>
        <v>2227.1186440677961</v>
      </c>
      <c r="AK20" s="184">
        <f t="shared" si="16"/>
        <v>2227.1186440677961</v>
      </c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</row>
    <row r="21" spans="2:124" x14ac:dyDescent="0.25">
      <c r="B21" s="467" t="s">
        <v>190</v>
      </c>
      <c r="C21" s="468" t="s">
        <v>191</v>
      </c>
      <c r="E21" s="184">
        <v>5</v>
      </c>
      <c r="F21" s="184" t="s">
        <v>183</v>
      </c>
      <c r="G21" s="184">
        <v>68</v>
      </c>
      <c r="H21" s="184">
        <f t="shared" si="6"/>
        <v>340</v>
      </c>
      <c r="I21" s="184">
        <f t="shared" si="7"/>
        <v>4080</v>
      </c>
      <c r="J21" s="184" t="s">
        <v>172</v>
      </c>
      <c r="K21" s="184" t="s">
        <v>173</v>
      </c>
      <c r="M21" s="190"/>
      <c r="N21" s="184">
        <f>$H$21</f>
        <v>340</v>
      </c>
      <c r="O21" s="184">
        <f t="shared" ref="O21:Y21" si="17">$H$21</f>
        <v>340</v>
      </c>
      <c r="P21" s="184">
        <f t="shared" si="17"/>
        <v>340</v>
      </c>
      <c r="Q21" s="184">
        <f t="shared" si="17"/>
        <v>340</v>
      </c>
      <c r="R21" s="184">
        <f t="shared" si="17"/>
        <v>340</v>
      </c>
      <c r="S21" s="184">
        <f t="shared" si="17"/>
        <v>340</v>
      </c>
      <c r="T21" s="184">
        <f t="shared" si="17"/>
        <v>340</v>
      </c>
      <c r="U21" s="184">
        <f t="shared" si="17"/>
        <v>340</v>
      </c>
      <c r="V21" s="184">
        <f t="shared" si="17"/>
        <v>340</v>
      </c>
      <c r="W21" s="184">
        <f t="shared" si="17"/>
        <v>340</v>
      </c>
      <c r="X21" s="184">
        <f t="shared" si="17"/>
        <v>340</v>
      </c>
      <c r="Y21" s="184">
        <f t="shared" si="17"/>
        <v>340</v>
      </c>
      <c r="Z21" s="190"/>
      <c r="AA21" s="190"/>
      <c r="AB21" s="184">
        <f t="shared" si="9"/>
        <v>4080</v>
      </c>
      <c r="AC21" s="184">
        <f>$AB$21</f>
        <v>4080</v>
      </c>
      <c r="AD21" s="184">
        <f t="shared" ref="AD21:AK21" si="18">$AB$21</f>
        <v>4080</v>
      </c>
      <c r="AE21" s="184">
        <f t="shared" si="18"/>
        <v>4080</v>
      </c>
      <c r="AF21" s="184">
        <f t="shared" si="18"/>
        <v>4080</v>
      </c>
      <c r="AG21" s="184">
        <f t="shared" si="18"/>
        <v>4080</v>
      </c>
      <c r="AH21" s="184">
        <f t="shared" si="18"/>
        <v>4080</v>
      </c>
      <c r="AI21" s="184">
        <f t="shared" si="18"/>
        <v>4080</v>
      </c>
      <c r="AJ21" s="184">
        <f t="shared" si="18"/>
        <v>4080</v>
      </c>
      <c r="AK21" s="184">
        <f t="shared" si="18"/>
        <v>4080</v>
      </c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0"/>
      <c r="CI21" s="190"/>
      <c r="CJ21" s="190"/>
      <c r="CK21" s="190"/>
      <c r="CL21" s="190"/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</row>
    <row r="22" spans="2:124" x14ac:dyDescent="0.25">
      <c r="B22" s="438" t="s">
        <v>649</v>
      </c>
      <c r="C22" s="438" t="s">
        <v>648</v>
      </c>
      <c r="E22" s="438">
        <v>1</v>
      </c>
      <c r="F22" s="438" t="s">
        <v>183</v>
      </c>
      <c r="G22" s="438">
        <v>466</v>
      </c>
      <c r="H22" s="438">
        <f t="shared" si="6"/>
        <v>466</v>
      </c>
      <c r="I22" s="438">
        <f t="shared" si="7"/>
        <v>5592</v>
      </c>
      <c r="J22" s="184" t="s">
        <v>172</v>
      </c>
      <c r="K22" s="184" t="s">
        <v>173</v>
      </c>
      <c r="N22" s="438">
        <f>$H$22</f>
        <v>466</v>
      </c>
      <c r="O22" s="438">
        <f t="shared" ref="O22:Y22" si="19">$H$22</f>
        <v>466</v>
      </c>
      <c r="P22" s="438">
        <f t="shared" si="19"/>
        <v>466</v>
      </c>
      <c r="Q22" s="438">
        <f t="shared" si="19"/>
        <v>466</v>
      </c>
      <c r="R22" s="438">
        <f t="shared" si="19"/>
        <v>466</v>
      </c>
      <c r="S22" s="438">
        <f t="shared" si="19"/>
        <v>466</v>
      </c>
      <c r="T22" s="438">
        <f t="shared" si="19"/>
        <v>466</v>
      </c>
      <c r="U22" s="438">
        <f t="shared" si="19"/>
        <v>466</v>
      </c>
      <c r="V22" s="438">
        <f t="shared" si="19"/>
        <v>466</v>
      </c>
      <c r="W22" s="438">
        <f t="shared" si="19"/>
        <v>466</v>
      </c>
      <c r="X22" s="438">
        <f t="shared" si="19"/>
        <v>466</v>
      </c>
      <c r="Y22" s="438">
        <f t="shared" si="19"/>
        <v>466</v>
      </c>
      <c r="AB22" s="438">
        <f t="shared" si="9"/>
        <v>5592</v>
      </c>
      <c r="AC22" s="438">
        <f>$AB$22</f>
        <v>5592</v>
      </c>
      <c r="AD22" s="438">
        <f t="shared" ref="AD22:AK22" si="20">$AB$22</f>
        <v>5592</v>
      </c>
      <c r="AE22" s="438">
        <f t="shared" si="20"/>
        <v>5592</v>
      </c>
      <c r="AF22" s="438">
        <f t="shared" si="20"/>
        <v>5592</v>
      </c>
      <c r="AG22" s="438">
        <f t="shared" si="20"/>
        <v>5592</v>
      </c>
      <c r="AH22" s="438">
        <f t="shared" si="20"/>
        <v>5592</v>
      </c>
      <c r="AI22" s="438">
        <f t="shared" si="20"/>
        <v>5592</v>
      </c>
      <c r="AJ22" s="438">
        <f t="shared" si="20"/>
        <v>5592</v>
      </c>
      <c r="AK22" s="438">
        <f t="shared" si="20"/>
        <v>5592</v>
      </c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</row>
    <row r="23" spans="2:124" x14ac:dyDescent="0.25">
      <c r="M23" s="12" t="s">
        <v>114</v>
      </c>
      <c r="N23" s="12">
        <f>SUM(N17:N22)</f>
        <v>2901.593220338983</v>
      </c>
      <c r="O23" s="12">
        <f t="shared" ref="O23:Y23" si="21">SUM(O17:O22)</f>
        <v>2901.593220338983</v>
      </c>
      <c r="P23" s="12">
        <f t="shared" si="21"/>
        <v>2901.593220338983</v>
      </c>
      <c r="Q23" s="12">
        <f t="shared" si="21"/>
        <v>2901.593220338983</v>
      </c>
      <c r="R23" s="12">
        <f t="shared" si="21"/>
        <v>2901.593220338983</v>
      </c>
      <c r="S23" s="12">
        <f t="shared" si="21"/>
        <v>2901.593220338983</v>
      </c>
      <c r="T23" s="12">
        <f t="shared" si="21"/>
        <v>2901.593220338983</v>
      </c>
      <c r="U23" s="12">
        <f t="shared" si="21"/>
        <v>2901.593220338983</v>
      </c>
      <c r="V23" s="12">
        <f t="shared" si="21"/>
        <v>2901.593220338983</v>
      </c>
      <c r="W23" s="12">
        <f t="shared" si="21"/>
        <v>2901.593220338983</v>
      </c>
      <c r="X23" s="12">
        <f t="shared" si="21"/>
        <v>2901.593220338983</v>
      </c>
      <c r="Y23" s="12">
        <f t="shared" si="21"/>
        <v>2901.593220338983</v>
      </c>
      <c r="Z23" s="12">
        <f>SUM(N23:Y23)</f>
        <v>34819.118644067792</v>
      </c>
      <c r="AA23" s="190"/>
      <c r="AB23" s="12">
        <f t="shared" si="9"/>
        <v>34819.118644067792</v>
      </c>
      <c r="AC23" s="12">
        <f t="shared" ref="AC23:AK23" si="22">$AB$23</f>
        <v>34819.118644067792</v>
      </c>
      <c r="AD23" s="12">
        <f t="shared" si="22"/>
        <v>34819.118644067792</v>
      </c>
      <c r="AE23" s="12">
        <f t="shared" si="22"/>
        <v>34819.118644067792</v>
      </c>
      <c r="AF23" s="12">
        <f t="shared" si="22"/>
        <v>34819.118644067792</v>
      </c>
      <c r="AG23" s="12">
        <f t="shared" si="22"/>
        <v>34819.118644067792</v>
      </c>
      <c r="AH23" s="12">
        <f t="shared" si="22"/>
        <v>34819.118644067792</v>
      </c>
      <c r="AI23" s="12">
        <f t="shared" si="22"/>
        <v>34819.118644067792</v>
      </c>
      <c r="AJ23" s="12">
        <f t="shared" si="22"/>
        <v>34819.118644067792</v>
      </c>
      <c r="AK23" s="12">
        <f t="shared" si="22"/>
        <v>34819.118644067792</v>
      </c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</row>
    <row r="24" spans="2:124" x14ac:dyDescent="0.25">
      <c r="B24" s="469" t="s">
        <v>192</v>
      </c>
      <c r="M24" s="190"/>
      <c r="N24" s="190"/>
      <c r="O24" s="190"/>
      <c r="P24" s="190"/>
      <c r="Q24" s="190"/>
      <c r="R24" s="190"/>
      <c r="S24" s="190"/>
      <c r="T24" s="190"/>
      <c r="U24" s="190"/>
      <c r="V24" s="190"/>
      <c r="W24" s="190"/>
      <c r="X24" s="190"/>
      <c r="Y24" s="190"/>
      <c r="Z24" s="190"/>
      <c r="AA24" s="190"/>
      <c r="AB24" s="190"/>
      <c r="AC24" s="190"/>
      <c r="AD24" s="190"/>
      <c r="AE24" s="190"/>
      <c r="AF24" s="190"/>
      <c r="AG24" s="190"/>
      <c r="AH24" s="190"/>
      <c r="AI24" s="190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</row>
    <row r="25" spans="2:124" x14ac:dyDescent="0.25">
      <c r="B25" s="47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  <c r="Z25" s="190"/>
      <c r="AA25" s="190"/>
      <c r="AB25" s="190"/>
      <c r="AC25" s="190"/>
      <c r="AD25" s="190"/>
      <c r="AE25" s="190"/>
      <c r="AF25" s="190"/>
      <c r="AG25" s="190"/>
      <c r="AH25" s="190"/>
      <c r="AI25" s="190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</row>
    <row r="26" spans="2:124" x14ac:dyDescent="0.25">
      <c r="B26" s="301" t="s">
        <v>178</v>
      </c>
      <c r="C26" s="302" t="s">
        <v>154</v>
      </c>
      <c r="E26" s="300" t="s">
        <v>169</v>
      </c>
      <c r="F26" s="300" t="s">
        <v>555</v>
      </c>
      <c r="G26" s="300" t="s">
        <v>170</v>
      </c>
      <c r="H26" s="300" t="s">
        <v>193</v>
      </c>
      <c r="J26" s="780" t="s">
        <v>180</v>
      </c>
      <c r="K26" s="780"/>
      <c r="M26" s="190"/>
      <c r="N26" s="12" t="s">
        <v>0</v>
      </c>
      <c r="O26" s="12" t="s">
        <v>1</v>
      </c>
      <c r="P26" s="12" t="s">
        <v>49</v>
      </c>
      <c r="Q26" s="12" t="s">
        <v>50</v>
      </c>
      <c r="R26" s="12" t="s">
        <v>51</v>
      </c>
      <c r="S26" s="12" t="s">
        <v>52</v>
      </c>
      <c r="T26" s="12" t="s">
        <v>53</v>
      </c>
      <c r="U26" s="12" t="s">
        <v>54</v>
      </c>
      <c r="V26" s="12" t="s">
        <v>55</v>
      </c>
      <c r="W26" s="12" t="s">
        <v>56</v>
      </c>
      <c r="X26" s="12" t="s">
        <v>57</v>
      </c>
      <c r="Y26" s="12" t="s">
        <v>58</v>
      </c>
      <c r="Z26" s="190"/>
      <c r="AA26" s="190"/>
      <c r="AB26" s="432" t="s">
        <v>2</v>
      </c>
      <c r="AC26" s="432" t="s">
        <v>14</v>
      </c>
      <c r="AD26" s="432" t="s">
        <v>15</v>
      </c>
      <c r="AE26" s="432" t="s">
        <v>16</v>
      </c>
      <c r="AF26" s="432" t="s">
        <v>17</v>
      </c>
      <c r="AG26" s="432" t="s">
        <v>18</v>
      </c>
      <c r="AH26" s="432" t="s">
        <v>19</v>
      </c>
      <c r="AI26" s="432" t="s">
        <v>20</v>
      </c>
      <c r="AJ26" s="432" t="s">
        <v>21</v>
      </c>
      <c r="AK26" s="432" t="s">
        <v>22</v>
      </c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</row>
    <row r="27" spans="2:124" x14ac:dyDescent="0.25">
      <c r="B27" s="466" t="s">
        <v>194</v>
      </c>
      <c r="C27" s="206" t="s">
        <v>195</v>
      </c>
      <c r="E27" s="184">
        <v>8</v>
      </c>
      <c r="F27" s="184" t="s">
        <v>469</v>
      </c>
      <c r="G27" s="184">
        <v>7.4238999999999997</v>
      </c>
      <c r="H27" s="184">
        <f>E27*G27</f>
        <v>59.391199999999998</v>
      </c>
      <c r="J27" s="184" t="s">
        <v>172</v>
      </c>
      <c r="K27" s="184" t="s">
        <v>196</v>
      </c>
      <c r="M27" s="190"/>
      <c r="N27" s="184">
        <f>H27</f>
        <v>59.391199999999998</v>
      </c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90"/>
      <c r="AA27" s="190"/>
      <c r="AB27" s="184">
        <f>SUM(N27:Y27)</f>
        <v>59.391199999999998</v>
      </c>
      <c r="AC27" s="184">
        <f>AB27</f>
        <v>59.391199999999998</v>
      </c>
      <c r="AD27" s="184">
        <f t="shared" ref="AD27:AK27" si="23">AC27</f>
        <v>59.391199999999998</v>
      </c>
      <c r="AE27" s="184">
        <f t="shared" si="23"/>
        <v>59.391199999999998</v>
      </c>
      <c r="AF27" s="184">
        <f t="shared" si="23"/>
        <v>59.391199999999998</v>
      </c>
      <c r="AG27" s="184">
        <f t="shared" si="23"/>
        <v>59.391199999999998</v>
      </c>
      <c r="AH27" s="184">
        <f t="shared" si="23"/>
        <v>59.391199999999998</v>
      </c>
      <c r="AI27" s="184">
        <f t="shared" si="23"/>
        <v>59.391199999999998</v>
      </c>
      <c r="AJ27" s="184">
        <f t="shared" si="23"/>
        <v>59.391199999999998</v>
      </c>
      <c r="AK27" s="184">
        <f t="shared" si="23"/>
        <v>59.391199999999998</v>
      </c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</row>
    <row r="28" spans="2:124" x14ac:dyDescent="0.25">
      <c r="B28" s="466" t="s">
        <v>197</v>
      </c>
      <c r="C28" s="191" t="s">
        <v>195</v>
      </c>
      <c r="E28" s="184">
        <v>8</v>
      </c>
      <c r="F28" s="184" t="s">
        <v>469</v>
      </c>
      <c r="G28" s="184">
        <v>6.3304999999999998</v>
      </c>
      <c r="H28" s="184">
        <f t="shared" ref="H28:H41" si="24">E28*G28</f>
        <v>50.643999999999998</v>
      </c>
      <c r="J28" s="184" t="s">
        <v>172</v>
      </c>
      <c r="K28" s="184" t="s">
        <v>196</v>
      </c>
      <c r="M28" s="190"/>
      <c r="N28" s="184">
        <f>H28</f>
        <v>50.643999999999998</v>
      </c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90"/>
      <c r="AA28" s="190"/>
      <c r="AB28" s="184">
        <f t="shared" ref="AB28:AB42" si="25">SUM(N28:Y28)</f>
        <v>50.643999999999998</v>
      </c>
      <c r="AC28" s="184">
        <f t="shared" ref="AC28:AK42" si="26">AB28</f>
        <v>50.643999999999998</v>
      </c>
      <c r="AD28" s="184">
        <f t="shared" si="26"/>
        <v>50.643999999999998</v>
      </c>
      <c r="AE28" s="184">
        <f t="shared" si="26"/>
        <v>50.643999999999998</v>
      </c>
      <c r="AF28" s="184">
        <f t="shared" si="26"/>
        <v>50.643999999999998</v>
      </c>
      <c r="AG28" s="184">
        <f t="shared" si="26"/>
        <v>50.643999999999998</v>
      </c>
      <c r="AH28" s="184">
        <f t="shared" si="26"/>
        <v>50.643999999999998</v>
      </c>
      <c r="AI28" s="184">
        <f t="shared" si="26"/>
        <v>50.643999999999998</v>
      </c>
      <c r="AJ28" s="184">
        <f t="shared" si="26"/>
        <v>50.643999999999998</v>
      </c>
      <c r="AK28" s="184">
        <f t="shared" si="26"/>
        <v>50.643999999999998</v>
      </c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</row>
    <row r="29" spans="2:124" x14ac:dyDescent="0.25">
      <c r="B29" s="466" t="s">
        <v>198</v>
      </c>
      <c r="C29" s="191" t="s">
        <v>195</v>
      </c>
      <c r="E29" s="184">
        <v>12</v>
      </c>
      <c r="F29" s="184" t="s">
        <v>221</v>
      </c>
      <c r="G29" s="184">
        <v>1.5921000000000001</v>
      </c>
      <c r="H29" s="184">
        <f t="shared" si="24"/>
        <v>19.1052</v>
      </c>
      <c r="J29" s="184" t="s">
        <v>172</v>
      </c>
      <c r="K29" s="184" t="s">
        <v>199</v>
      </c>
      <c r="M29" s="190"/>
      <c r="N29" s="184">
        <f>H29</f>
        <v>19.1052</v>
      </c>
      <c r="O29" s="184"/>
      <c r="P29" s="184"/>
      <c r="Q29" s="184">
        <f>N29</f>
        <v>19.1052</v>
      </c>
      <c r="R29" s="184"/>
      <c r="S29" s="184"/>
      <c r="T29" s="184">
        <f>Q29</f>
        <v>19.1052</v>
      </c>
      <c r="U29" s="184"/>
      <c r="V29" s="184"/>
      <c r="W29" s="184">
        <f>T29</f>
        <v>19.1052</v>
      </c>
      <c r="X29" s="184"/>
      <c r="Y29" s="184"/>
      <c r="Z29" s="190"/>
      <c r="AA29" s="190"/>
      <c r="AB29" s="184">
        <f t="shared" si="25"/>
        <v>76.4208</v>
      </c>
      <c r="AC29" s="184">
        <f t="shared" si="26"/>
        <v>76.4208</v>
      </c>
      <c r="AD29" s="184">
        <f t="shared" si="26"/>
        <v>76.4208</v>
      </c>
      <c r="AE29" s="184">
        <f t="shared" si="26"/>
        <v>76.4208</v>
      </c>
      <c r="AF29" s="184">
        <f t="shared" si="26"/>
        <v>76.4208</v>
      </c>
      <c r="AG29" s="184">
        <f t="shared" si="26"/>
        <v>76.4208</v>
      </c>
      <c r="AH29" s="184">
        <f t="shared" si="26"/>
        <v>76.4208</v>
      </c>
      <c r="AI29" s="184">
        <f t="shared" si="26"/>
        <v>76.4208</v>
      </c>
      <c r="AJ29" s="184">
        <f t="shared" si="26"/>
        <v>76.4208</v>
      </c>
      <c r="AK29" s="184">
        <f t="shared" si="26"/>
        <v>76.4208</v>
      </c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</row>
    <row r="30" spans="2:124" x14ac:dyDescent="0.25">
      <c r="B30" s="466" t="s">
        <v>200</v>
      </c>
      <c r="C30" s="191" t="s">
        <v>195</v>
      </c>
      <c r="E30" s="184">
        <v>12</v>
      </c>
      <c r="F30" s="184" t="s">
        <v>221</v>
      </c>
      <c r="G30" s="184">
        <v>0.53680000000000005</v>
      </c>
      <c r="H30" s="184">
        <f t="shared" si="24"/>
        <v>6.4416000000000011</v>
      </c>
      <c r="J30" s="184" t="s">
        <v>172</v>
      </c>
      <c r="K30" s="184" t="s">
        <v>199</v>
      </c>
      <c r="M30" s="190"/>
      <c r="N30" s="184">
        <f>H30</f>
        <v>6.4416000000000011</v>
      </c>
      <c r="O30" s="184"/>
      <c r="P30" s="184"/>
      <c r="Q30" s="184">
        <f>N30</f>
        <v>6.4416000000000011</v>
      </c>
      <c r="R30" s="184"/>
      <c r="S30" s="184"/>
      <c r="T30" s="184">
        <f>Q30</f>
        <v>6.4416000000000011</v>
      </c>
      <c r="U30" s="184"/>
      <c r="V30" s="184"/>
      <c r="W30" s="184">
        <f>T30</f>
        <v>6.4416000000000011</v>
      </c>
      <c r="X30" s="184"/>
      <c r="Y30" s="184"/>
      <c r="Z30" s="190"/>
      <c r="AA30" s="190"/>
      <c r="AB30" s="184">
        <f t="shared" si="25"/>
        <v>25.766400000000004</v>
      </c>
      <c r="AC30" s="184">
        <f t="shared" si="26"/>
        <v>25.766400000000004</v>
      </c>
      <c r="AD30" s="184">
        <f t="shared" si="26"/>
        <v>25.766400000000004</v>
      </c>
      <c r="AE30" s="184">
        <f t="shared" si="26"/>
        <v>25.766400000000004</v>
      </c>
      <c r="AF30" s="184">
        <f t="shared" si="26"/>
        <v>25.766400000000004</v>
      </c>
      <c r="AG30" s="184">
        <f t="shared" si="26"/>
        <v>25.766400000000004</v>
      </c>
      <c r="AH30" s="184">
        <f t="shared" si="26"/>
        <v>25.766400000000004</v>
      </c>
      <c r="AI30" s="184">
        <f t="shared" si="26"/>
        <v>25.766400000000004</v>
      </c>
      <c r="AJ30" s="184">
        <f t="shared" si="26"/>
        <v>25.766400000000004</v>
      </c>
      <c r="AK30" s="184">
        <f t="shared" si="26"/>
        <v>25.766400000000004</v>
      </c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</row>
    <row r="31" spans="2:124" x14ac:dyDescent="0.25">
      <c r="B31" s="466" t="s">
        <v>201</v>
      </c>
      <c r="C31" s="191" t="s">
        <v>195</v>
      </c>
      <c r="E31" s="184">
        <v>6</v>
      </c>
      <c r="F31" s="184" t="s">
        <v>556</v>
      </c>
      <c r="G31" s="184">
        <v>7.6295999999999999</v>
      </c>
      <c r="H31" s="184">
        <f t="shared" si="24"/>
        <v>45.7776</v>
      </c>
      <c r="J31" s="184" t="s">
        <v>172</v>
      </c>
      <c r="K31" s="184" t="s">
        <v>199</v>
      </c>
      <c r="M31" s="190"/>
      <c r="N31" s="184">
        <f>H31</f>
        <v>45.7776</v>
      </c>
      <c r="O31" s="184"/>
      <c r="P31" s="184"/>
      <c r="Q31" s="184">
        <f>N31</f>
        <v>45.7776</v>
      </c>
      <c r="R31" s="184"/>
      <c r="S31" s="184"/>
      <c r="T31" s="184">
        <f>Q31</f>
        <v>45.7776</v>
      </c>
      <c r="U31" s="184"/>
      <c r="V31" s="184"/>
      <c r="W31" s="184">
        <f>T31</f>
        <v>45.7776</v>
      </c>
      <c r="X31" s="184"/>
      <c r="Y31" s="184"/>
      <c r="Z31" s="190"/>
      <c r="AA31" s="190"/>
      <c r="AB31" s="184">
        <f t="shared" si="25"/>
        <v>183.1104</v>
      </c>
      <c r="AC31" s="184">
        <f t="shared" si="26"/>
        <v>183.1104</v>
      </c>
      <c r="AD31" s="184">
        <f t="shared" si="26"/>
        <v>183.1104</v>
      </c>
      <c r="AE31" s="184">
        <f t="shared" si="26"/>
        <v>183.1104</v>
      </c>
      <c r="AF31" s="184">
        <f t="shared" si="26"/>
        <v>183.1104</v>
      </c>
      <c r="AG31" s="184">
        <f t="shared" si="26"/>
        <v>183.1104</v>
      </c>
      <c r="AH31" s="184">
        <f t="shared" si="26"/>
        <v>183.1104</v>
      </c>
      <c r="AI31" s="184">
        <f t="shared" si="26"/>
        <v>183.1104</v>
      </c>
      <c r="AJ31" s="184">
        <f t="shared" si="26"/>
        <v>183.1104</v>
      </c>
      <c r="AK31" s="184">
        <f t="shared" si="26"/>
        <v>183.1104</v>
      </c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</row>
    <row r="32" spans="2:124" x14ac:dyDescent="0.25">
      <c r="B32" s="466" t="s">
        <v>202</v>
      </c>
      <c r="C32" s="191" t="s">
        <v>195</v>
      </c>
      <c r="E32" s="184">
        <v>16</v>
      </c>
      <c r="F32" s="184" t="s">
        <v>469</v>
      </c>
      <c r="G32" s="184">
        <v>1.349</v>
      </c>
      <c r="H32" s="184">
        <f t="shared" si="24"/>
        <v>21.584</v>
      </c>
      <c r="J32" s="184" t="s">
        <v>172</v>
      </c>
      <c r="K32" s="184" t="s">
        <v>203</v>
      </c>
      <c r="M32" s="190"/>
      <c r="N32" s="184">
        <f t="shared" ref="N32:N41" si="27">H32</f>
        <v>21.584</v>
      </c>
      <c r="O32" s="184"/>
      <c r="P32" s="184"/>
      <c r="Q32" s="184"/>
      <c r="R32" s="184"/>
      <c r="S32" s="184"/>
      <c r="T32" s="184">
        <f>N32</f>
        <v>21.584</v>
      </c>
      <c r="U32" s="184"/>
      <c r="V32" s="184"/>
      <c r="W32" s="184"/>
      <c r="X32" s="184"/>
      <c r="Y32" s="184"/>
      <c r="Z32" s="190"/>
      <c r="AA32" s="190"/>
      <c r="AB32" s="184">
        <f t="shared" si="25"/>
        <v>43.167999999999999</v>
      </c>
      <c r="AC32" s="184">
        <f t="shared" si="26"/>
        <v>43.167999999999999</v>
      </c>
      <c r="AD32" s="184">
        <f t="shared" si="26"/>
        <v>43.167999999999999</v>
      </c>
      <c r="AE32" s="184">
        <f t="shared" si="26"/>
        <v>43.167999999999999</v>
      </c>
      <c r="AF32" s="184">
        <f t="shared" si="26"/>
        <v>43.167999999999999</v>
      </c>
      <c r="AG32" s="184">
        <f t="shared" si="26"/>
        <v>43.167999999999999</v>
      </c>
      <c r="AH32" s="184">
        <f t="shared" si="26"/>
        <v>43.167999999999999</v>
      </c>
      <c r="AI32" s="184">
        <f t="shared" si="26"/>
        <v>43.167999999999999</v>
      </c>
      <c r="AJ32" s="184">
        <f t="shared" si="26"/>
        <v>43.167999999999999</v>
      </c>
      <c r="AK32" s="184">
        <f t="shared" si="26"/>
        <v>43.167999999999999</v>
      </c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</row>
    <row r="33" spans="2:124" x14ac:dyDescent="0.25">
      <c r="B33" s="466" t="s">
        <v>204</v>
      </c>
      <c r="C33" s="191" t="s">
        <v>195</v>
      </c>
      <c r="E33" s="184">
        <v>36</v>
      </c>
      <c r="F33" s="184" t="s">
        <v>469</v>
      </c>
      <c r="G33" s="184">
        <v>0.27529999999999999</v>
      </c>
      <c r="H33" s="184">
        <f t="shared" si="24"/>
        <v>9.9108000000000001</v>
      </c>
      <c r="J33" s="184" t="s">
        <v>172</v>
      </c>
      <c r="K33" s="184" t="s">
        <v>199</v>
      </c>
      <c r="M33" s="190"/>
      <c r="N33" s="184">
        <f t="shared" si="27"/>
        <v>9.9108000000000001</v>
      </c>
      <c r="O33" s="184"/>
      <c r="P33" s="184"/>
      <c r="Q33" s="184">
        <f>N33</f>
        <v>9.9108000000000001</v>
      </c>
      <c r="R33" s="184"/>
      <c r="S33" s="184"/>
      <c r="T33" s="184">
        <f>Q33</f>
        <v>9.9108000000000001</v>
      </c>
      <c r="U33" s="184"/>
      <c r="V33" s="184"/>
      <c r="W33" s="184">
        <f>T33</f>
        <v>9.9108000000000001</v>
      </c>
      <c r="X33" s="184"/>
      <c r="Y33" s="184"/>
      <c r="Z33" s="190"/>
      <c r="AA33" s="190"/>
      <c r="AB33" s="184">
        <f t="shared" si="25"/>
        <v>39.6432</v>
      </c>
      <c r="AC33" s="184">
        <f t="shared" si="26"/>
        <v>39.6432</v>
      </c>
      <c r="AD33" s="184">
        <f t="shared" si="26"/>
        <v>39.6432</v>
      </c>
      <c r="AE33" s="184">
        <f t="shared" si="26"/>
        <v>39.6432</v>
      </c>
      <c r="AF33" s="184">
        <f t="shared" si="26"/>
        <v>39.6432</v>
      </c>
      <c r="AG33" s="184">
        <f t="shared" si="26"/>
        <v>39.6432</v>
      </c>
      <c r="AH33" s="184">
        <f t="shared" si="26"/>
        <v>39.6432</v>
      </c>
      <c r="AI33" s="184">
        <f t="shared" si="26"/>
        <v>39.6432</v>
      </c>
      <c r="AJ33" s="184">
        <f t="shared" si="26"/>
        <v>39.6432</v>
      </c>
      <c r="AK33" s="184">
        <f t="shared" si="26"/>
        <v>39.6432</v>
      </c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</row>
    <row r="34" spans="2:124" x14ac:dyDescent="0.25">
      <c r="B34" s="466" t="s">
        <v>205</v>
      </c>
      <c r="C34" s="191" t="s">
        <v>195</v>
      </c>
      <c r="E34" s="184">
        <v>1</v>
      </c>
      <c r="F34" s="184" t="s">
        <v>221</v>
      </c>
      <c r="G34" s="184">
        <v>0.3337</v>
      </c>
      <c r="H34" s="184">
        <f t="shared" si="24"/>
        <v>0.3337</v>
      </c>
      <c r="J34" s="184" t="s">
        <v>172</v>
      </c>
      <c r="K34" s="184" t="s">
        <v>199</v>
      </c>
      <c r="M34" s="190"/>
      <c r="N34" s="184">
        <f t="shared" si="27"/>
        <v>0.3337</v>
      </c>
      <c r="O34" s="184"/>
      <c r="P34" s="184"/>
      <c r="Q34" s="184">
        <f>N34</f>
        <v>0.3337</v>
      </c>
      <c r="R34" s="184"/>
      <c r="S34" s="184"/>
      <c r="T34" s="184">
        <f>Q34</f>
        <v>0.3337</v>
      </c>
      <c r="U34" s="184"/>
      <c r="V34" s="184"/>
      <c r="W34" s="184">
        <f>T34</f>
        <v>0.3337</v>
      </c>
      <c r="X34" s="184"/>
      <c r="Y34" s="184"/>
      <c r="Z34" s="190"/>
      <c r="AA34" s="190"/>
      <c r="AB34" s="184">
        <f t="shared" si="25"/>
        <v>1.3348</v>
      </c>
      <c r="AC34" s="184">
        <f t="shared" si="26"/>
        <v>1.3348</v>
      </c>
      <c r="AD34" s="184">
        <f t="shared" si="26"/>
        <v>1.3348</v>
      </c>
      <c r="AE34" s="184">
        <f t="shared" si="26"/>
        <v>1.3348</v>
      </c>
      <c r="AF34" s="184">
        <f t="shared" si="26"/>
        <v>1.3348</v>
      </c>
      <c r="AG34" s="184">
        <f t="shared" si="26"/>
        <v>1.3348</v>
      </c>
      <c r="AH34" s="184">
        <f t="shared" si="26"/>
        <v>1.3348</v>
      </c>
      <c r="AI34" s="184">
        <f t="shared" si="26"/>
        <v>1.3348</v>
      </c>
      <c r="AJ34" s="184">
        <f t="shared" si="26"/>
        <v>1.3348</v>
      </c>
      <c r="AK34" s="184">
        <f t="shared" si="26"/>
        <v>1.3348</v>
      </c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</row>
    <row r="35" spans="2:124" x14ac:dyDescent="0.25">
      <c r="B35" s="466" t="s">
        <v>206</v>
      </c>
      <c r="C35" s="191" t="s">
        <v>195</v>
      </c>
      <c r="E35" s="184">
        <v>1</v>
      </c>
      <c r="F35" s="184" t="s">
        <v>557</v>
      </c>
      <c r="G35" s="184">
        <v>16.9255</v>
      </c>
      <c r="H35" s="184">
        <f t="shared" si="24"/>
        <v>16.9255</v>
      </c>
      <c r="J35" s="184" t="s">
        <v>172</v>
      </c>
      <c r="K35" s="184" t="s">
        <v>199</v>
      </c>
      <c r="M35" s="190"/>
      <c r="N35" s="184">
        <f t="shared" si="27"/>
        <v>16.9255</v>
      </c>
      <c r="O35" s="184"/>
      <c r="P35" s="184"/>
      <c r="Q35" s="184">
        <f>N35</f>
        <v>16.9255</v>
      </c>
      <c r="R35" s="184"/>
      <c r="S35" s="184"/>
      <c r="T35" s="184">
        <f>Q35</f>
        <v>16.9255</v>
      </c>
      <c r="U35" s="184"/>
      <c r="V35" s="184"/>
      <c r="W35" s="184">
        <f>T35</f>
        <v>16.9255</v>
      </c>
      <c r="X35" s="184"/>
      <c r="Y35" s="184"/>
      <c r="Z35" s="190"/>
      <c r="AA35" s="190"/>
      <c r="AB35" s="184">
        <f t="shared" si="25"/>
        <v>67.701999999999998</v>
      </c>
      <c r="AC35" s="184">
        <f t="shared" si="26"/>
        <v>67.701999999999998</v>
      </c>
      <c r="AD35" s="184">
        <f t="shared" si="26"/>
        <v>67.701999999999998</v>
      </c>
      <c r="AE35" s="184">
        <f t="shared" si="26"/>
        <v>67.701999999999998</v>
      </c>
      <c r="AF35" s="184">
        <f t="shared" si="26"/>
        <v>67.701999999999998</v>
      </c>
      <c r="AG35" s="184">
        <f t="shared" si="26"/>
        <v>67.701999999999998</v>
      </c>
      <c r="AH35" s="184">
        <f t="shared" si="26"/>
        <v>67.701999999999998</v>
      </c>
      <c r="AI35" s="184">
        <f t="shared" si="26"/>
        <v>67.701999999999998</v>
      </c>
      <c r="AJ35" s="184">
        <f t="shared" si="26"/>
        <v>67.701999999999998</v>
      </c>
      <c r="AK35" s="184">
        <f t="shared" si="26"/>
        <v>67.701999999999998</v>
      </c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90"/>
      <c r="CB35" s="190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90"/>
      <c r="CR35" s="190"/>
      <c r="CS35" s="190"/>
      <c r="CT35" s="190"/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</row>
    <row r="36" spans="2:124" x14ac:dyDescent="0.25">
      <c r="B36" s="466" t="s">
        <v>207</v>
      </c>
      <c r="C36" s="191" t="s">
        <v>195</v>
      </c>
      <c r="E36" s="184">
        <v>12</v>
      </c>
      <c r="F36" s="184" t="s">
        <v>469</v>
      </c>
      <c r="G36" s="184">
        <v>7.8375000000000004</v>
      </c>
      <c r="H36" s="184">
        <f t="shared" si="24"/>
        <v>94.050000000000011</v>
      </c>
      <c r="J36" s="184" t="s">
        <v>172</v>
      </c>
      <c r="K36" s="184" t="s">
        <v>203</v>
      </c>
      <c r="M36" s="190"/>
      <c r="N36" s="184">
        <f t="shared" si="27"/>
        <v>94.050000000000011</v>
      </c>
      <c r="O36" s="184"/>
      <c r="P36" s="184"/>
      <c r="Q36" s="184"/>
      <c r="R36" s="184"/>
      <c r="S36" s="184"/>
      <c r="T36" s="184">
        <f>N36</f>
        <v>94.050000000000011</v>
      </c>
      <c r="U36" s="184"/>
      <c r="V36" s="184"/>
      <c r="W36" s="184"/>
      <c r="X36" s="184"/>
      <c r="Y36" s="184"/>
      <c r="Z36" s="190"/>
      <c r="AA36" s="190"/>
      <c r="AB36" s="184">
        <f t="shared" si="25"/>
        <v>188.10000000000002</v>
      </c>
      <c r="AC36" s="184">
        <f t="shared" si="26"/>
        <v>188.10000000000002</v>
      </c>
      <c r="AD36" s="184">
        <f t="shared" si="26"/>
        <v>188.10000000000002</v>
      </c>
      <c r="AE36" s="184">
        <f t="shared" si="26"/>
        <v>188.10000000000002</v>
      </c>
      <c r="AF36" s="184">
        <f t="shared" si="26"/>
        <v>188.10000000000002</v>
      </c>
      <c r="AG36" s="184">
        <f t="shared" si="26"/>
        <v>188.10000000000002</v>
      </c>
      <c r="AH36" s="184">
        <f t="shared" si="26"/>
        <v>188.10000000000002</v>
      </c>
      <c r="AI36" s="184">
        <f t="shared" si="26"/>
        <v>188.10000000000002</v>
      </c>
      <c r="AJ36" s="184">
        <f t="shared" si="26"/>
        <v>188.10000000000002</v>
      </c>
      <c r="AK36" s="184">
        <f t="shared" si="26"/>
        <v>188.10000000000002</v>
      </c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</row>
    <row r="37" spans="2:124" x14ac:dyDescent="0.25">
      <c r="B37" s="466" t="s">
        <v>208</v>
      </c>
      <c r="C37" s="191" t="s">
        <v>195</v>
      </c>
      <c r="E37" s="184">
        <v>8</v>
      </c>
      <c r="F37" s="184" t="s">
        <v>469</v>
      </c>
      <c r="G37" s="184">
        <v>0.36759999999999998</v>
      </c>
      <c r="H37" s="184">
        <f t="shared" si="24"/>
        <v>2.9407999999999999</v>
      </c>
      <c r="J37" s="184" t="s">
        <v>172</v>
      </c>
      <c r="K37" s="184" t="s">
        <v>209</v>
      </c>
      <c r="M37" s="190"/>
      <c r="N37" s="184">
        <f t="shared" si="27"/>
        <v>2.9407999999999999</v>
      </c>
      <c r="O37" s="184"/>
      <c r="P37" s="184"/>
      <c r="Q37" s="184"/>
      <c r="R37" s="184">
        <f>N37</f>
        <v>2.9407999999999999</v>
      </c>
      <c r="S37" s="184"/>
      <c r="T37" s="184"/>
      <c r="U37" s="184"/>
      <c r="V37" s="184">
        <f>R37</f>
        <v>2.9407999999999999</v>
      </c>
      <c r="W37" s="184"/>
      <c r="X37" s="184"/>
      <c r="Y37" s="184"/>
      <c r="Z37" s="190"/>
      <c r="AA37" s="190"/>
      <c r="AB37" s="184">
        <f t="shared" si="25"/>
        <v>8.8224</v>
      </c>
      <c r="AC37" s="184">
        <f t="shared" si="26"/>
        <v>8.8224</v>
      </c>
      <c r="AD37" s="184">
        <f t="shared" si="26"/>
        <v>8.8224</v>
      </c>
      <c r="AE37" s="184">
        <f t="shared" si="26"/>
        <v>8.8224</v>
      </c>
      <c r="AF37" s="184">
        <f t="shared" si="26"/>
        <v>8.8224</v>
      </c>
      <c r="AG37" s="184">
        <f t="shared" si="26"/>
        <v>8.8224</v>
      </c>
      <c r="AH37" s="184">
        <f t="shared" si="26"/>
        <v>8.8224</v>
      </c>
      <c r="AI37" s="184">
        <f t="shared" si="26"/>
        <v>8.8224</v>
      </c>
      <c r="AJ37" s="184">
        <f t="shared" si="26"/>
        <v>8.8224</v>
      </c>
      <c r="AK37" s="184">
        <f t="shared" si="26"/>
        <v>8.8224</v>
      </c>
      <c r="AL37" s="190"/>
      <c r="AM37" s="190"/>
      <c r="AN37" s="190"/>
      <c r="AO37" s="190"/>
      <c r="AP37" s="190"/>
      <c r="AQ37" s="190"/>
      <c r="AR37" s="190"/>
      <c r="AS37" s="190"/>
      <c r="AT37" s="190"/>
      <c r="AU37" s="190"/>
      <c r="AV37" s="190"/>
      <c r="AW37" s="190"/>
      <c r="AX37" s="190"/>
      <c r="AY37" s="190"/>
      <c r="AZ37" s="190"/>
      <c r="BA37" s="190"/>
      <c r="BB37" s="190"/>
      <c r="BC37" s="190"/>
      <c r="BD37" s="190"/>
      <c r="BE37" s="190"/>
      <c r="BF37" s="190"/>
      <c r="BG37" s="190"/>
      <c r="BH37" s="190"/>
      <c r="BI37" s="190"/>
      <c r="BJ37" s="190"/>
      <c r="BK37" s="190"/>
      <c r="BL37" s="190"/>
      <c r="BM37" s="190"/>
      <c r="BN37" s="190"/>
      <c r="BO37" s="190"/>
      <c r="BP37" s="190"/>
      <c r="BQ37" s="190"/>
      <c r="BR37" s="190"/>
      <c r="BS37" s="190"/>
      <c r="BT37" s="190"/>
      <c r="BU37" s="190"/>
      <c r="BV37" s="190"/>
      <c r="BW37" s="190"/>
      <c r="BX37" s="190"/>
      <c r="BY37" s="190"/>
      <c r="BZ37" s="190"/>
      <c r="CA37" s="190"/>
      <c r="CB37" s="190"/>
      <c r="CC37" s="190"/>
      <c r="CD37" s="190"/>
      <c r="CE37" s="190"/>
      <c r="CF37" s="190"/>
      <c r="CG37" s="190"/>
      <c r="CH37" s="190"/>
      <c r="CI37" s="190"/>
      <c r="CJ37" s="190"/>
      <c r="CK37" s="190"/>
      <c r="CL37" s="190"/>
      <c r="CM37" s="190"/>
      <c r="CN37" s="190"/>
      <c r="CO37" s="190"/>
      <c r="CP37" s="190"/>
      <c r="CQ37" s="190"/>
      <c r="CR37" s="190"/>
      <c r="CS37" s="190"/>
      <c r="CT37" s="190"/>
      <c r="CU37" s="190"/>
      <c r="CV37" s="190"/>
      <c r="CW37" s="190"/>
      <c r="CX37" s="190"/>
      <c r="CY37" s="190"/>
      <c r="CZ37" s="190"/>
      <c r="DA37" s="190"/>
      <c r="DB37" s="190"/>
      <c r="DC37" s="190"/>
      <c r="DD37" s="190"/>
      <c r="DE37" s="190"/>
      <c r="DF37" s="190"/>
      <c r="DG37" s="190"/>
      <c r="DH37" s="190"/>
      <c r="DI37" s="190"/>
      <c r="DJ37" s="190"/>
      <c r="DK37" s="190"/>
      <c r="DL37" s="190"/>
      <c r="DM37" s="190"/>
      <c r="DN37" s="190"/>
      <c r="DO37" s="190"/>
      <c r="DP37" s="190"/>
      <c r="DQ37" s="190"/>
      <c r="DR37" s="190"/>
      <c r="DS37" s="190"/>
      <c r="DT37" s="190"/>
    </row>
    <row r="38" spans="2:124" x14ac:dyDescent="0.25">
      <c r="B38" s="466" t="s">
        <v>210</v>
      </c>
      <c r="C38" s="191" t="s">
        <v>195</v>
      </c>
      <c r="E38" s="184">
        <v>8</v>
      </c>
      <c r="F38" s="184" t="s">
        <v>469</v>
      </c>
      <c r="G38" s="184">
        <v>0.56899999999999995</v>
      </c>
      <c r="H38" s="184">
        <f t="shared" si="24"/>
        <v>4.5519999999999996</v>
      </c>
      <c r="J38" s="184" t="s">
        <v>172</v>
      </c>
      <c r="K38" s="184" t="s">
        <v>209</v>
      </c>
      <c r="M38" s="190"/>
      <c r="N38" s="184">
        <f t="shared" si="27"/>
        <v>4.5519999999999996</v>
      </c>
      <c r="O38" s="184"/>
      <c r="P38" s="184"/>
      <c r="Q38" s="184"/>
      <c r="R38" s="184">
        <f>N38</f>
        <v>4.5519999999999996</v>
      </c>
      <c r="S38" s="184"/>
      <c r="T38" s="184"/>
      <c r="U38" s="184"/>
      <c r="V38" s="184">
        <f>R38</f>
        <v>4.5519999999999996</v>
      </c>
      <c r="W38" s="184"/>
      <c r="X38" s="184"/>
      <c r="Y38" s="184"/>
      <c r="Z38" s="190"/>
      <c r="AA38" s="190"/>
      <c r="AB38" s="184">
        <f t="shared" si="25"/>
        <v>13.655999999999999</v>
      </c>
      <c r="AC38" s="184">
        <f t="shared" si="26"/>
        <v>13.655999999999999</v>
      </c>
      <c r="AD38" s="184">
        <f t="shared" si="26"/>
        <v>13.655999999999999</v>
      </c>
      <c r="AE38" s="184">
        <f t="shared" si="26"/>
        <v>13.655999999999999</v>
      </c>
      <c r="AF38" s="184">
        <f t="shared" si="26"/>
        <v>13.655999999999999</v>
      </c>
      <c r="AG38" s="184">
        <f t="shared" si="26"/>
        <v>13.655999999999999</v>
      </c>
      <c r="AH38" s="184">
        <f t="shared" si="26"/>
        <v>13.655999999999999</v>
      </c>
      <c r="AI38" s="184">
        <f t="shared" si="26"/>
        <v>13.655999999999999</v>
      </c>
      <c r="AJ38" s="184">
        <f t="shared" si="26"/>
        <v>13.655999999999999</v>
      </c>
      <c r="AK38" s="184">
        <f t="shared" si="26"/>
        <v>13.655999999999999</v>
      </c>
      <c r="AL38" s="190"/>
      <c r="AM38" s="190"/>
      <c r="AN38" s="190"/>
      <c r="AO38" s="190"/>
      <c r="AP38" s="190"/>
      <c r="AQ38" s="190"/>
      <c r="AR38" s="190"/>
      <c r="AS38" s="190"/>
      <c r="AT38" s="190"/>
      <c r="AU38" s="190"/>
      <c r="AV38" s="190"/>
      <c r="AW38" s="190"/>
      <c r="AX38" s="190"/>
      <c r="AY38" s="190"/>
      <c r="AZ38" s="190"/>
      <c r="BA38" s="190"/>
      <c r="BB38" s="190"/>
      <c r="BC38" s="190"/>
      <c r="BD38" s="190"/>
      <c r="BE38" s="190"/>
      <c r="BF38" s="190"/>
      <c r="BG38" s="190"/>
      <c r="BH38" s="190"/>
      <c r="BI38" s="190"/>
      <c r="BJ38" s="190"/>
      <c r="BK38" s="190"/>
      <c r="BL38" s="190"/>
      <c r="BM38" s="190"/>
      <c r="BN38" s="190"/>
      <c r="BO38" s="190"/>
      <c r="BP38" s="190"/>
      <c r="BQ38" s="190"/>
      <c r="BR38" s="190"/>
      <c r="BS38" s="190"/>
      <c r="BT38" s="190"/>
      <c r="BU38" s="190"/>
      <c r="BV38" s="190"/>
      <c r="BW38" s="190"/>
      <c r="BX38" s="190"/>
      <c r="BY38" s="190"/>
      <c r="BZ38" s="190"/>
      <c r="CA38" s="190"/>
      <c r="CB38" s="190"/>
      <c r="CC38" s="190"/>
      <c r="CD38" s="190"/>
      <c r="CE38" s="190"/>
      <c r="CF38" s="190"/>
      <c r="CG38" s="190"/>
      <c r="CH38" s="190"/>
      <c r="CI38" s="190"/>
      <c r="CJ38" s="190"/>
      <c r="CK38" s="190"/>
      <c r="CL38" s="190"/>
      <c r="CM38" s="190"/>
      <c r="CN38" s="190"/>
      <c r="CO38" s="190"/>
      <c r="CP38" s="190"/>
      <c r="CQ38" s="190"/>
      <c r="CR38" s="190"/>
      <c r="CS38" s="190"/>
      <c r="CT38" s="190"/>
      <c r="CU38" s="190"/>
      <c r="CV38" s="190"/>
      <c r="CW38" s="190"/>
      <c r="CX38" s="190"/>
      <c r="CY38" s="190"/>
      <c r="CZ38" s="190"/>
      <c r="DA38" s="190"/>
      <c r="DB38" s="190"/>
      <c r="DC38" s="190"/>
      <c r="DD38" s="190"/>
      <c r="DE38" s="190"/>
      <c r="DF38" s="190"/>
      <c r="DG38" s="190"/>
      <c r="DH38" s="190"/>
      <c r="DI38" s="190"/>
      <c r="DJ38" s="190"/>
      <c r="DK38" s="190"/>
      <c r="DL38" s="190"/>
      <c r="DM38" s="190"/>
      <c r="DN38" s="190"/>
      <c r="DO38" s="190"/>
      <c r="DP38" s="190"/>
      <c r="DQ38" s="190"/>
      <c r="DR38" s="190"/>
      <c r="DS38" s="190"/>
      <c r="DT38" s="190"/>
    </row>
    <row r="39" spans="2:124" x14ac:dyDescent="0.25">
      <c r="B39" s="466" t="s">
        <v>211</v>
      </c>
      <c r="C39" s="191" t="s">
        <v>195</v>
      </c>
      <c r="E39" s="184">
        <v>12</v>
      </c>
      <c r="F39" s="184" t="s">
        <v>469</v>
      </c>
      <c r="G39" s="184">
        <v>1.9209000000000001</v>
      </c>
      <c r="H39" s="184">
        <f t="shared" si="24"/>
        <v>23.050800000000002</v>
      </c>
      <c r="J39" s="184" t="s">
        <v>172</v>
      </c>
      <c r="K39" s="184" t="s">
        <v>209</v>
      </c>
      <c r="M39" s="190"/>
      <c r="N39" s="184">
        <f t="shared" si="27"/>
        <v>23.050800000000002</v>
      </c>
      <c r="O39" s="184"/>
      <c r="P39" s="184"/>
      <c r="Q39" s="184"/>
      <c r="R39" s="184">
        <f>N39</f>
        <v>23.050800000000002</v>
      </c>
      <c r="S39" s="184"/>
      <c r="T39" s="184"/>
      <c r="U39" s="184"/>
      <c r="V39" s="184">
        <f>R39</f>
        <v>23.050800000000002</v>
      </c>
      <c r="W39" s="184"/>
      <c r="X39" s="184"/>
      <c r="Y39" s="184"/>
      <c r="Z39" s="190"/>
      <c r="AA39" s="190"/>
      <c r="AB39" s="184">
        <f t="shared" si="25"/>
        <v>69.1524</v>
      </c>
      <c r="AC39" s="184">
        <f t="shared" si="26"/>
        <v>69.1524</v>
      </c>
      <c r="AD39" s="184">
        <f t="shared" si="26"/>
        <v>69.1524</v>
      </c>
      <c r="AE39" s="184">
        <f t="shared" si="26"/>
        <v>69.1524</v>
      </c>
      <c r="AF39" s="184">
        <f t="shared" si="26"/>
        <v>69.1524</v>
      </c>
      <c r="AG39" s="184">
        <f t="shared" si="26"/>
        <v>69.1524</v>
      </c>
      <c r="AH39" s="184">
        <f t="shared" si="26"/>
        <v>69.1524</v>
      </c>
      <c r="AI39" s="184">
        <f t="shared" si="26"/>
        <v>69.1524</v>
      </c>
      <c r="AJ39" s="184">
        <f t="shared" si="26"/>
        <v>69.1524</v>
      </c>
      <c r="AK39" s="184">
        <f t="shared" si="26"/>
        <v>69.1524</v>
      </c>
      <c r="AL39" s="190"/>
      <c r="AM39" s="190"/>
      <c r="AN39" s="190"/>
      <c r="AO39" s="190"/>
      <c r="AP39" s="190"/>
      <c r="AQ39" s="190"/>
      <c r="AR39" s="190"/>
      <c r="AS39" s="190"/>
      <c r="AT39" s="190"/>
      <c r="AU39" s="190"/>
      <c r="AV39" s="190"/>
      <c r="AW39" s="190"/>
      <c r="AX39" s="190"/>
      <c r="AY39" s="190"/>
      <c r="AZ39" s="190"/>
      <c r="BA39" s="190"/>
      <c r="BB39" s="190"/>
      <c r="BC39" s="190"/>
      <c r="BD39" s="190"/>
      <c r="BE39" s="190"/>
      <c r="BF39" s="190"/>
      <c r="BG39" s="190"/>
      <c r="BH39" s="190"/>
      <c r="BI39" s="190"/>
      <c r="BJ39" s="190"/>
      <c r="BK39" s="190"/>
      <c r="BL39" s="190"/>
      <c r="BM39" s="190"/>
      <c r="BN39" s="190"/>
      <c r="BO39" s="190"/>
      <c r="BP39" s="190"/>
      <c r="BQ39" s="190"/>
      <c r="BR39" s="190"/>
      <c r="BS39" s="190"/>
      <c r="BT39" s="190"/>
      <c r="BU39" s="190"/>
      <c r="BV39" s="190"/>
      <c r="BW39" s="190"/>
      <c r="BX39" s="190"/>
      <c r="BY39" s="190"/>
      <c r="BZ39" s="190"/>
      <c r="CA39" s="190"/>
      <c r="CB39" s="190"/>
      <c r="CC39" s="190"/>
      <c r="CD39" s="190"/>
      <c r="CE39" s="190"/>
      <c r="CF39" s="190"/>
      <c r="CG39" s="190"/>
      <c r="CH39" s="190"/>
      <c r="CI39" s="190"/>
      <c r="CJ39" s="190"/>
      <c r="CK39" s="190"/>
      <c r="CL39" s="190"/>
      <c r="CM39" s="190"/>
      <c r="CN39" s="190"/>
      <c r="CO39" s="190"/>
      <c r="CP39" s="190"/>
      <c r="CQ39" s="190"/>
      <c r="CR39" s="190"/>
      <c r="CS39" s="190"/>
      <c r="CT39" s="190"/>
      <c r="CU39" s="190"/>
      <c r="CV39" s="190"/>
      <c r="CW39" s="190"/>
      <c r="CX39" s="190"/>
      <c r="CY39" s="190"/>
      <c r="CZ39" s="190"/>
      <c r="DA39" s="190"/>
      <c r="DB39" s="190"/>
      <c r="DC39" s="190"/>
      <c r="DD39" s="190"/>
      <c r="DE39" s="190"/>
      <c r="DF39" s="190"/>
      <c r="DG39" s="190"/>
      <c r="DH39" s="190"/>
      <c r="DI39" s="190"/>
      <c r="DJ39" s="190"/>
      <c r="DK39" s="190"/>
      <c r="DL39" s="190"/>
      <c r="DM39" s="190"/>
      <c r="DN39" s="190"/>
      <c r="DO39" s="190"/>
      <c r="DP39" s="190"/>
      <c r="DQ39" s="190"/>
      <c r="DR39" s="190"/>
      <c r="DS39" s="190"/>
      <c r="DT39" s="190"/>
    </row>
    <row r="40" spans="2:124" x14ac:dyDescent="0.25">
      <c r="B40" s="466" t="s">
        <v>212</v>
      </c>
      <c r="C40" s="191" t="s">
        <v>195</v>
      </c>
      <c r="E40" s="184">
        <v>8</v>
      </c>
      <c r="F40" s="184" t="s">
        <v>217</v>
      </c>
      <c r="G40" s="184">
        <v>5.9016999999999999</v>
      </c>
      <c r="H40" s="184">
        <f t="shared" si="24"/>
        <v>47.2136</v>
      </c>
      <c r="J40" s="184" t="s">
        <v>172</v>
      </c>
      <c r="K40" s="184" t="s">
        <v>203</v>
      </c>
      <c r="M40" s="190"/>
      <c r="N40" s="184">
        <f t="shared" si="27"/>
        <v>47.2136</v>
      </c>
      <c r="O40" s="184"/>
      <c r="P40" s="184"/>
      <c r="Q40" s="184"/>
      <c r="R40" s="184"/>
      <c r="S40" s="184"/>
      <c r="T40" s="184">
        <f>N40</f>
        <v>47.2136</v>
      </c>
      <c r="U40" s="184"/>
      <c r="V40" s="184"/>
      <c r="W40" s="184"/>
      <c r="X40" s="184"/>
      <c r="Y40" s="184"/>
      <c r="Z40" s="190"/>
      <c r="AA40" s="190"/>
      <c r="AB40" s="184">
        <f t="shared" si="25"/>
        <v>94.427199999999999</v>
      </c>
      <c r="AC40" s="184">
        <f t="shared" si="26"/>
        <v>94.427199999999999</v>
      </c>
      <c r="AD40" s="184">
        <f t="shared" si="26"/>
        <v>94.427199999999999</v>
      </c>
      <c r="AE40" s="184">
        <f t="shared" si="26"/>
        <v>94.427199999999999</v>
      </c>
      <c r="AF40" s="184">
        <f t="shared" si="26"/>
        <v>94.427199999999999</v>
      </c>
      <c r="AG40" s="184">
        <f t="shared" si="26"/>
        <v>94.427199999999999</v>
      </c>
      <c r="AH40" s="184">
        <f t="shared" si="26"/>
        <v>94.427199999999999</v>
      </c>
      <c r="AI40" s="184">
        <f t="shared" si="26"/>
        <v>94.427199999999999</v>
      </c>
      <c r="AJ40" s="184">
        <f t="shared" si="26"/>
        <v>94.427199999999999</v>
      </c>
      <c r="AK40" s="184">
        <f t="shared" si="26"/>
        <v>94.427199999999999</v>
      </c>
      <c r="AL40" s="190"/>
      <c r="AM40" s="190"/>
      <c r="AN40" s="190"/>
      <c r="AO40" s="190"/>
      <c r="AP40" s="190"/>
      <c r="AQ40" s="190"/>
      <c r="AR40" s="190"/>
      <c r="AS40" s="190"/>
      <c r="AT40" s="190"/>
      <c r="AU40" s="190"/>
      <c r="AV40" s="190"/>
      <c r="AW40" s="190"/>
      <c r="AX40" s="190"/>
      <c r="AY40" s="190"/>
      <c r="AZ40" s="190"/>
      <c r="BA40" s="190"/>
      <c r="BB40" s="190"/>
      <c r="BC40" s="190"/>
      <c r="BD40" s="190"/>
      <c r="BE40" s="190"/>
      <c r="BF40" s="190"/>
      <c r="BG40" s="190"/>
      <c r="BH40" s="190"/>
      <c r="BI40" s="190"/>
      <c r="BJ40" s="190"/>
      <c r="BK40" s="190"/>
      <c r="BL40" s="190"/>
      <c r="BM40" s="190"/>
      <c r="BN40" s="190"/>
      <c r="BO40" s="190"/>
      <c r="BP40" s="190"/>
      <c r="BQ40" s="190"/>
      <c r="BR40" s="190"/>
      <c r="BS40" s="190"/>
      <c r="BT40" s="190"/>
      <c r="BU40" s="190"/>
      <c r="BV40" s="190"/>
      <c r="BW40" s="190"/>
      <c r="BX40" s="190"/>
      <c r="BY40" s="190"/>
      <c r="BZ40" s="190"/>
      <c r="CA40" s="190"/>
      <c r="CB40" s="190"/>
      <c r="CC40" s="190"/>
      <c r="CD40" s="190"/>
      <c r="CE40" s="190"/>
      <c r="CF40" s="190"/>
      <c r="CG40" s="190"/>
      <c r="CH40" s="190"/>
      <c r="CI40" s="190"/>
      <c r="CJ40" s="190"/>
      <c r="CK40" s="190"/>
      <c r="CL40" s="190"/>
      <c r="CM40" s="190"/>
      <c r="CN40" s="190"/>
      <c r="CO40" s="190"/>
      <c r="CP40" s="190"/>
      <c r="CQ40" s="190"/>
      <c r="CR40" s="190"/>
      <c r="CS40" s="190"/>
      <c r="CT40" s="190"/>
      <c r="CU40" s="190"/>
      <c r="CV40" s="190"/>
      <c r="CW40" s="190"/>
      <c r="CX40" s="190"/>
      <c r="CY40" s="190"/>
      <c r="CZ40" s="190"/>
      <c r="DA40" s="190"/>
      <c r="DB40" s="190"/>
      <c r="DC40" s="190"/>
      <c r="DD40" s="190"/>
      <c r="DE40" s="190"/>
      <c r="DF40" s="190"/>
      <c r="DG40" s="190"/>
      <c r="DH40" s="190"/>
      <c r="DI40" s="190"/>
      <c r="DJ40" s="190"/>
      <c r="DK40" s="190"/>
      <c r="DL40" s="190"/>
      <c r="DM40" s="190"/>
      <c r="DN40" s="190"/>
      <c r="DO40" s="190"/>
      <c r="DP40" s="190"/>
      <c r="DQ40" s="190"/>
      <c r="DR40" s="190"/>
      <c r="DS40" s="190"/>
      <c r="DT40" s="190"/>
    </row>
    <row r="41" spans="2:124" x14ac:dyDescent="0.25">
      <c r="B41" s="466" t="s">
        <v>213</v>
      </c>
      <c r="C41" s="191" t="s">
        <v>195</v>
      </c>
      <c r="E41" s="184">
        <v>8</v>
      </c>
      <c r="F41" s="184" t="s">
        <v>217</v>
      </c>
      <c r="G41" s="184">
        <v>3.6537000000000002</v>
      </c>
      <c r="H41" s="184">
        <f t="shared" si="24"/>
        <v>29.229600000000001</v>
      </c>
      <c r="J41" s="184" t="s">
        <v>172</v>
      </c>
      <c r="K41" s="184" t="s">
        <v>199</v>
      </c>
      <c r="M41" s="190"/>
      <c r="N41" s="184">
        <f t="shared" si="27"/>
        <v>29.229600000000001</v>
      </c>
      <c r="O41" s="184"/>
      <c r="P41" s="184"/>
      <c r="Q41" s="184">
        <f>N41</f>
        <v>29.229600000000001</v>
      </c>
      <c r="R41" s="184"/>
      <c r="S41" s="184"/>
      <c r="T41" s="184">
        <f>Q41</f>
        <v>29.229600000000001</v>
      </c>
      <c r="U41" s="184"/>
      <c r="V41" s="184"/>
      <c r="W41" s="184">
        <f>T41</f>
        <v>29.229600000000001</v>
      </c>
      <c r="X41" s="184"/>
      <c r="Y41" s="184"/>
      <c r="Z41" s="190"/>
      <c r="AA41" s="190"/>
      <c r="AB41" s="184">
        <f t="shared" si="25"/>
        <v>116.91840000000001</v>
      </c>
      <c r="AC41" s="184">
        <f t="shared" si="26"/>
        <v>116.91840000000001</v>
      </c>
      <c r="AD41" s="184">
        <f t="shared" si="26"/>
        <v>116.91840000000001</v>
      </c>
      <c r="AE41" s="184">
        <f t="shared" si="26"/>
        <v>116.91840000000001</v>
      </c>
      <c r="AF41" s="184">
        <f t="shared" si="26"/>
        <v>116.91840000000001</v>
      </c>
      <c r="AG41" s="184">
        <f t="shared" si="26"/>
        <v>116.91840000000001</v>
      </c>
      <c r="AH41" s="184">
        <f t="shared" si="26"/>
        <v>116.91840000000001</v>
      </c>
      <c r="AI41" s="184">
        <f t="shared" si="26"/>
        <v>116.91840000000001</v>
      </c>
      <c r="AJ41" s="184">
        <f t="shared" si="26"/>
        <v>116.91840000000001</v>
      </c>
      <c r="AK41" s="184">
        <f t="shared" si="26"/>
        <v>116.91840000000001</v>
      </c>
      <c r="AL41" s="190"/>
      <c r="AM41" s="190"/>
      <c r="AN41" s="190"/>
      <c r="AO41" s="190"/>
      <c r="AP41" s="190"/>
      <c r="AQ41" s="190"/>
      <c r="AR41" s="190"/>
      <c r="AS41" s="190"/>
      <c r="AT41" s="190"/>
      <c r="AU41" s="190"/>
      <c r="AV41" s="190"/>
      <c r="AW41" s="190"/>
      <c r="AX41" s="190"/>
      <c r="AY41" s="190"/>
      <c r="AZ41" s="190"/>
      <c r="BA41" s="190"/>
      <c r="BB41" s="190"/>
      <c r="BC41" s="190"/>
      <c r="BD41" s="190"/>
      <c r="BE41" s="190"/>
      <c r="BF41" s="190"/>
      <c r="BG41" s="190"/>
      <c r="BH41" s="190"/>
      <c r="BI41" s="190"/>
      <c r="BJ41" s="190"/>
      <c r="BK41" s="190"/>
      <c r="BL41" s="190"/>
      <c r="BM41" s="190"/>
      <c r="BN41" s="190"/>
      <c r="BO41" s="190"/>
      <c r="BP41" s="190"/>
      <c r="BQ41" s="190"/>
      <c r="BR41" s="190"/>
      <c r="BS41" s="190"/>
      <c r="BT41" s="190"/>
      <c r="BU41" s="190"/>
      <c r="BV41" s="190"/>
      <c r="BW41" s="190"/>
      <c r="BX41" s="190"/>
      <c r="BY41" s="190"/>
      <c r="BZ41" s="190"/>
      <c r="CA41" s="190"/>
      <c r="CB41" s="190"/>
      <c r="CC41" s="190"/>
      <c r="CD41" s="190"/>
      <c r="CE41" s="190"/>
      <c r="CF41" s="190"/>
      <c r="CG41" s="190"/>
      <c r="CH41" s="190"/>
      <c r="CI41" s="190"/>
      <c r="CJ41" s="190"/>
      <c r="CK41" s="190"/>
      <c r="CL41" s="190"/>
      <c r="CM41" s="190"/>
      <c r="CN41" s="190"/>
      <c r="CO41" s="190"/>
      <c r="CP41" s="190"/>
      <c r="CQ41" s="190"/>
      <c r="CR41" s="190"/>
      <c r="CS41" s="190"/>
      <c r="CT41" s="190"/>
      <c r="CU41" s="190"/>
      <c r="CV41" s="190"/>
      <c r="CW41" s="190"/>
      <c r="CX41" s="190"/>
      <c r="CY41" s="190"/>
      <c r="CZ41" s="190"/>
      <c r="DA41" s="190"/>
      <c r="DB41" s="190"/>
      <c r="DC41" s="190"/>
      <c r="DD41" s="190"/>
      <c r="DE41" s="190"/>
      <c r="DF41" s="190"/>
      <c r="DG41" s="190"/>
      <c r="DH41" s="190"/>
      <c r="DI41" s="190"/>
      <c r="DJ41" s="190"/>
      <c r="DK41" s="190"/>
      <c r="DL41" s="190"/>
      <c r="DM41" s="190"/>
      <c r="DN41" s="190"/>
      <c r="DO41" s="190"/>
      <c r="DP41" s="190"/>
      <c r="DQ41" s="190"/>
      <c r="DR41" s="190"/>
      <c r="DS41" s="190"/>
      <c r="DT41" s="190"/>
    </row>
    <row r="42" spans="2:124" x14ac:dyDescent="0.25">
      <c r="M42" s="12" t="s">
        <v>114</v>
      </c>
      <c r="N42" s="12">
        <f t="shared" ref="N42:Y42" si="28">SUM(N27:N41)</f>
        <v>431.15039999999999</v>
      </c>
      <c r="O42" s="12">
        <f t="shared" si="28"/>
        <v>0</v>
      </c>
      <c r="P42" s="12">
        <f t="shared" si="28"/>
        <v>0</v>
      </c>
      <c r="Q42" s="12">
        <f t="shared" si="28"/>
        <v>127.72399999999999</v>
      </c>
      <c r="R42" s="12">
        <f t="shared" si="28"/>
        <v>30.543600000000001</v>
      </c>
      <c r="S42" s="12">
        <f t="shared" si="28"/>
        <v>0</v>
      </c>
      <c r="T42" s="12">
        <f t="shared" si="28"/>
        <v>290.57159999999999</v>
      </c>
      <c r="U42" s="12">
        <f t="shared" si="28"/>
        <v>0</v>
      </c>
      <c r="V42" s="12">
        <f t="shared" si="28"/>
        <v>30.543600000000001</v>
      </c>
      <c r="W42" s="12">
        <f t="shared" si="28"/>
        <v>127.72399999999999</v>
      </c>
      <c r="X42" s="12">
        <f t="shared" si="28"/>
        <v>0</v>
      </c>
      <c r="Y42" s="12">
        <f t="shared" si="28"/>
        <v>0</v>
      </c>
      <c r="Z42" s="12">
        <f>SUM(N42:Y42)</f>
        <v>1038.2571999999998</v>
      </c>
      <c r="AA42" s="190"/>
      <c r="AB42" s="12">
        <f t="shared" si="25"/>
        <v>1038.2571999999998</v>
      </c>
      <c r="AC42" s="12">
        <f t="shared" si="26"/>
        <v>1038.2571999999998</v>
      </c>
      <c r="AD42" s="12">
        <f t="shared" si="26"/>
        <v>1038.2571999999998</v>
      </c>
      <c r="AE42" s="12">
        <f t="shared" si="26"/>
        <v>1038.2571999999998</v>
      </c>
      <c r="AF42" s="12">
        <f t="shared" si="26"/>
        <v>1038.2571999999998</v>
      </c>
      <c r="AG42" s="12">
        <f t="shared" si="26"/>
        <v>1038.2571999999998</v>
      </c>
      <c r="AH42" s="12">
        <f t="shared" si="26"/>
        <v>1038.2571999999998</v>
      </c>
      <c r="AI42" s="12">
        <f t="shared" si="26"/>
        <v>1038.2571999999998</v>
      </c>
      <c r="AJ42" s="12">
        <f t="shared" si="26"/>
        <v>1038.2571999999998</v>
      </c>
      <c r="AK42" s="12">
        <f t="shared" si="26"/>
        <v>1038.2571999999998</v>
      </c>
      <c r="AL42" s="190"/>
      <c r="AM42" s="190"/>
      <c r="AN42" s="190"/>
      <c r="AO42" s="190"/>
      <c r="AP42" s="190"/>
      <c r="AQ42" s="190"/>
      <c r="AR42" s="190"/>
      <c r="AS42" s="190"/>
      <c r="AT42" s="190"/>
      <c r="AU42" s="190"/>
      <c r="AV42" s="190"/>
      <c r="AW42" s="190"/>
      <c r="AX42" s="190"/>
      <c r="AY42" s="190"/>
      <c r="AZ42" s="190"/>
      <c r="BA42" s="190"/>
      <c r="BB42" s="190"/>
      <c r="BC42" s="190"/>
      <c r="BD42" s="190"/>
      <c r="BE42" s="190"/>
      <c r="BF42" s="190"/>
      <c r="BG42" s="190"/>
      <c r="BH42" s="190"/>
      <c r="BI42" s="190"/>
      <c r="BJ42" s="190"/>
      <c r="BK42" s="190"/>
      <c r="BL42" s="190"/>
      <c r="BM42" s="190"/>
      <c r="BN42" s="190"/>
      <c r="BO42" s="190"/>
      <c r="BP42" s="190"/>
      <c r="BQ42" s="190"/>
      <c r="BR42" s="190"/>
      <c r="BS42" s="190"/>
      <c r="BT42" s="190"/>
      <c r="BU42" s="190"/>
      <c r="BV42" s="190"/>
      <c r="BW42" s="190"/>
      <c r="BX42" s="190"/>
      <c r="BY42" s="190"/>
      <c r="BZ42" s="190"/>
      <c r="CA42" s="190"/>
      <c r="CB42" s="190"/>
      <c r="CC42" s="190"/>
      <c r="CD42" s="190"/>
      <c r="CE42" s="190"/>
      <c r="CF42" s="190"/>
      <c r="CG42" s="190"/>
      <c r="CH42" s="190"/>
      <c r="CI42" s="190"/>
      <c r="CJ42" s="190"/>
      <c r="CK42" s="190"/>
      <c r="CL42" s="190"/>
      <c r="CM42" s="190"/>
      <c r="CN42" s="190"/>
      <c r="CO42" s="190"/>
      <c r="CP42" s="190"/>
      <c r="CQ42" s="190"/>
      <c r="CR42" s="190"/>
      <c r="CS42" s="190"/>
      <c r="CT42" s="190"/>
      <c r="CU42" s="190"/>
      <c r="CV42" s="190"/>
      <c r="CW42" s="190"/>
      <c r="CX42" s="190"/>
      <c r="CY42" s="190"/>
      <c r="CZ42" s="190"/>
      <c r="DA42" s="190"/>
      <c r="DB42" s="190"/>
      <c r="DC42" s="190"/>
      <c r="DD42" s="190"/>
      <c r="DE42" s="190"/>
      <c r="DF42" s="190"/>
      <c r="DG42" s="190"/>
      <c r="DH42" s="190"/>
      <c r="DI42" s="190"/>
      <c r="DJ42" s="190"/>
      <c r="DK42" s="190"/>
      <c r="DL42" s="190"/>
      <c r="DM42" s="190"/>
      <c r="DN42" s="190"/>
      <c r="DO42" s="190"/>
      <c r="DP42" s="190"/>
      <c r="DQ42" s="190"/>
      <c r="DR42" s="190"/>
      <c r="DS42" s="190"/>
      <c r="DT42" s="190"/>
    </row>
    <row r="43" spans="2:124" x14ac:dyDescent="0.25"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  <c r="AN43" s="190"/>
      <c r="AO43" s="190"/>
      <c r="AP43" s="190"/>
      <c r="AQ43" s="190"/>
      <c r="AR43" s="190"/>
      <c r="AS43" s="190"/>
      <c r="AT43" s="190"/>
      <c r="AU43" s="190"/>
      <c r="AV43" s="190"/>
      <c r="AW43" s="190"/>
      <c r="AX43" s="190"/>
      <c r="AY43" s="190"/>
      <c r="AZ43" s="190"/>
      <c r="BA43" s="190"/>
      <c r="BB43" s="190"/>
      <c r="BC43" s="190"/>
      <c r="BD43" s="190"/>
      <c r="BE43" s="190"/>
      <c r="BF43" s="190"/>
      <c r="BG43" s="190"/>
      <c r="BH43" s="190"/>
      <c r="BI43" s="190"/>
      <c r="BJ43" s="190"/>
      <c r="BK43" s="190"/>
      <c r="BL43" s="190"/>
      <c r="BM43" s="190"/>
      <c r="BN43" s="190"/>
      <c r="BO43" s="190"/>
      <c r="BP43" s="190"/>
      <c r="BQ43" s="190"/>
      <c r="BR43" s="190"/>
      <c r="BS43" s="190"/>
      <c r="BT43" s="190"/>
      <c r="BU43" s="190"/>
      <c r="BV43" s="190"/>
      <c r="BW43" s="190"/>
      <c r="BX43" s="190"/>
      <c r="BY43" s="190"/>
      <c r="BZ43" s="190"/>
      <c r="CA43" s="190"/>
      <c r="CB43" s="190"/>
      <c r="CC43" s="190"/>
      <c r="CD43" s="190"/>
      <c r="CE43" s="190"/>
      <c r="CF43" s="190"/>
      <c r="CG43" s="190"/>
      <c r="CH43" s="190"/>
      <c r="CI43" s="190"/>
      <c r="CJ43" s="190"/>
      <c r="CK43" s="190"/>
      <c r="CL43" s="190"/>
      <c r="CM43" s="190"/>
      <c r="CN43" s="190"/>
      <c r="CO43" s="190"/>
      <c r="CP43" s="190"/>
      <c r="CQ43" s="190"/>
      <c r="CR43" s="190"/>
      <c r="CS43" s="190"/>
      <c r="CT43" s="190"/>
      <c r="CU43" s="190"/>
      <c r="CV43" s="190"/>
      <c r="CW43" s="190"/>
      <c r="CX43" s="190"/>
      <c r="CY43" s="190"/>
      <c r="CZ43" s="190"/>
      <c r="DA43" s="190"/>
      <c r="DB43" s="190"/>
      <c r="DC43" s="190"/>
      <c r="DD43" s="190"/>
      <c r="DE43" s="190"/>
      <c r="DF43" s="190"/>
      <c r="DG43" s="190"/>
      <c r="DH43" s="190"/>
      <c r="DI43" s="190"/>
      <c r="DJ43" s="190"/>
      <c r="DK43" s="190"/>
      <c r="DL43" s="190"/>
      <c r="DM43" s="190"/>
      <c r="DN43" s="190"/>
      <c r="DO43" s="190"/>
      <c r="DP43" s="190"/>
      <c r="DQ43" s="190"/>
      <c r="DR43" s="190"/>
      <c r="DS43" s="190"/>
      <c r="DT43" s="190"/>
    </row>
    <row r="44" spans="2:124" x14ac:dyDescent="0.25">
      <c r="B44" s="469" t="s">
        <v>214</v>
      </c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  <c r="AG44" s="190"/>
      <c r="AH44" s="190"/>
      <c r="AI44" s="190"/>
      <c r="AJ44" s="190"/>
      <c r="AK44" s="190"/>
      <c r="AL44" s="190"/>
      <c r="AM44" s="190"/>
      <c r="AN44" s="190"/>
      <c r="AO44" s="190"/>
      <c r="AP44" s="190"/>
      <c r="AQ44" s="190"/>
      <c r="AR44" s="190"/>
      <c r="AS44" s="190"/>
      <c r="AT44" s="190"/>
      <c r="AU44" s="190"/>
      <c r="AV44" s="190"/>
      <c r="AW44" s="190"/>
      <c r="AX44" s="190"/>
      <c r="AY44" s="190"/>
      <c r="AZ44" s="190"/>
      <c r="BA44" s="190"/>
      <c r="BB44" s="190"/>
      <c r="BC44" s="190"/>
      <c r="BD44" s="190"/>
      <c r="BE44" s="190"/>
      <c r="BF44" s="190"/>
      <c r="BG44" s="190"/>
      <c r="BH44" s="190"/>
      <c r="BI44" s="190"/>
      <c r="BJ44" s="190"/>
      <c r="BK44" s="190"/>
      <c r="BL44" s="190"/>
      <c r="BM44" s="190"/>
      <c r="BN44" s="190"/>
      <c r="BO44" s="190"/>
      <c r="BP44" s="190"/>
      <c r="BQ44" s="190"/>
      <c r="BR44" s="190"/>
      <c r="BS44" s="190"/>
      <c r="BT44" s="190"/>
      <c r="BU44" s="190"/>
      <c r="BV44" s="190"/>
      <c r="BW44" s="190"/>
      <c r="BX44" s="190"/>
      <c r="BY44" s="190"/>
      <c r="BZ44" s="190"/>
      <c r="CA44" s="190"/>
      <c r="CB44" s="190"/>
      <c r="CC44" s="190"/>
      <c r="CD44" s="190"/>
      <c r="CE44" s="190"/>
      <c r="CF44" s="190"/>
      <c r="CG44" s="190"/>
      <c r="CH44" s="190"/>
      <c r="CI44" s="190"/>
      <c r="CJ44" s="190"/>
      <c r="CK44" s="190"/>
      <c r="CL44" s="190"/>
      <c r="CM44" s="190"/>
      <c r="CN44" s="190"/>
      <c r="CO44" s="190"/>
      <c r="CP44" s="190"/>
      <c r="CQ44" s="190"/>
      <c r="CR44" s="190"/>
      <c r="CS44" s="190"/>
      <c r="CT44" s="190"/>
      <c r="CU44" s="190"/>
      <c r="CV44" s="190"/>
      <c r="CW44" s="190"/>
      <c r="CX44" s="190"/>
      <c r="CY44" s="190"/>
      <c r="CZ44" s="190"/>
      <c r="DA44" s="190"/>
      <c r="DB44" s="190"/>
      <c r="DC44" s="190"/>
      <c r="DD44" s="190"/>
      <c r="DE44" s="190"/>
      <c r="DF44" s="190"/>
      <c r="DG44" s="190"/>
      <c r="DH44" s="190"/>
      <c r="DI44" s="190"/>
      <c r="DJ44" s="190"/>
      <c r="DK44" s="190"/>
      <c r="DL44" s="190"/>
      <c r="DM44" s="190"/>
      <c r="DN44" s="190"/>
      <c r="DO44" s="190"/>
      <c r="DP44" s="190"/>
      <c r="DQ44" s="190"/>
      <c r="DR44" s="190"/>
      <c r="DS44" s="190"/>
      <c r="DT44" s="190"/>
    </row>
    <row r="45" spans="2:124" x14ac:dyDescent="0.25">
      <c r="B45" s="470"/>
      <c r="M45" s="190"/>
      <c r="N45" s="190"/>
      <c r="O45" s="190"/>
      <c r="P45" s="190"/>
      <c r="Q45" s="190"/>
      <c r="R45" s="190"/>
      <c r="S45" s="190"/>
      <c r="T45" s="190"/>
      <c r="U45" s="190"/>
      <c r="V45" s="190"/>
      <c r="W45" s="190"/>
      <c r="X45" s="190"/>
      <c r="Y45" s="190"/>
      <c r="Z45" s="190"/>
      <c r="AA45" s="190"/>
      <c r="AB45" s="190"/>
      <c r="AC45" s="190"/>
      <c r="AD45" s="190"/>
      <c r="AE45" s="190"/>
      <c r="AF45" s="190"/>
      <c r="AG45" s="190"/>
      <c r="AH45" s="190"/>
      <c r="AI45" s="190"/>
      <c r="AJ45" s="190"/>
      <c r="AK45" s="190"/>
      <c r="AL45" s="190"/>
      <c r="AM45" s="190"/>
      <c r="AN45" s="190"/>
      <c r="AO45" s="190"/>
      <c r="AP45" s="190"/>
      <c r="AQ45" s="190"/>
      <c r="AR45" s="190"/>
      <c r="AS45" s="190"/>
      <c r="AT45" s="190"/>
      <c r="AU45" s="190"/>
      <c r="AV45" s="190"/>
      <c r="AW45" s="190"/>
      <c r="AX45" s="190"/>
      <c r="AY45" s="190"/>
      <c r="AZ45" s="190"/>
      <c r="BA45" s="190"/>
      <c r="BB45" s="190"/>
      <c r="BC45" s="190"/>
      <c r="BD45" s="190"/>
      <c r="BE45" s="190"/>
      <c r="BF45" s="190"/>
      <c r="BG45" s="190"/>
      <c r="BH45" s="190"/>
      <c r="BI45" s="190"/>
      <c r="BJ45" s="190"/>
      <c r="BK45" s="190"/>
      <c r="BL45" s="190"/>
      <c r="BM45" s="190"/>
      <c r="BN45" s="190"/>
      <c r="BO45" s="190"/>
      <c r="BP45" s="190"/>
      <c r="BQ45" s="190"/>
      <c r="BR45" s="190"/>
      <c r="BS45" s="190"/>
      <c r="BT45" s="190"/>
      <c r="BU45" s="190"/>
      <c r="BV45" s="190"/>
      <c r="BW45" s="190"/>
      <c r="BX45" s="190"/>
      <c r="BY45" s="190"/>
      <c r="BZ45" s="190"/>
      <c r="CA45" s="190"/>
      <c r="CB45" s="190"/>
      <c r="CC45" s="190"/>
      <c r="CD45" s="190"/>
      <c r="CE45" s="190"/>
      <c r="CF45" s="190"/>
      <c r="CG45" s="190"/>
      <c r="CH45" s="190"/>
      <c r="CI45" s="190"/>
      <c r="CJ45" s="190"/>
      <c r="CK45" s="190"/>
      <c r="CL45" s="190"/>
      <c r="CM45" s="190"/>
      <c r="CN45" s="190"/>
      <c r="CO45" s="190"/>
      <c r="CP45" s="190"/>
      <c r="CQ45" s="190"/>
      <c r="CR45" s="190"/>
      <c r="CS45" s="190"/>
      <c r="CT45" s="190"/>
      <c r="CU45" s="190"/>
      <c r="CV45" s="190"/>
      <c r="CW45" s="190"/>
      <c r="CX45" s="190"/>
      <c r="CY45" s="190"/>
      <c r="CZ45" s="190"/>
      <c r="DA45" s="190"/>
      <c r="DB45" s="190"/>
      <c r="DC45" s="190"/>
      <c r="DD45" s="190"/>
      <c r="DE45" s="190"/>
      <c r="DF45" s="190"/>
      <c r="DG45" s="190"/>
      <c r="DH45" s="190"/>
      <c r="DI45" s="190"/>
      <c r="DJ45" s="190"/>
      <c r="DK45" s="190"/>
      <c r="DL45" s="190"/>
      <c r="DM45" s="190"/>
      <c r="DN45" s="190"/>
      <c r="DO45" s="190"/>
      <c r="DP45" s="190"/>
      <c r="DQ45" s="190"/>
      <c r="DR45" s="190"/>
      <c r="DS45" s="190"/>
      <c r="DT45" s="190"/>
    </row>
    <row r="46" spans="2:124" x14ac:dyDescent="0.25">
      <c r="B46" s="301" t="s">
        <v>178</v>
      </c>
      <c r="C46" s="302" t="s">
        <v>154</v>
      </c>
      <c r="E46" s="300" t="s">
        <v>169</v>
      </c>
      <c r="F46" s="300" t="s">
        <v>555</v>
      </c>
      <c r="G46" s="300" t="s">
        <v>170</v>
      </c>
      <c r="H46" s="300" t="s">
        <v>193</v>
      </c>
      <c r="J46" s="780" t="s">
        <v>180</v>
      </c>
      <c r="K46" s="780"/>
      <c r="M46" s="190"/>
      <c r="N46" s="12" t="s">
        <v>0</v>
      </c>
      <c r="O46" s="12" t="s">
        <v>1</v>
      </c>
      <c r="P46" s="12" t="s">
        <v>49</v>
      </c>
      <c r="Q46" s="12" t="s">
        <v>50</v>
      </c>
      <c r="R46" s="12" t="s">
        <v>51</v>
      </c>
      <c r="S46" s="12" t="s">
        <v>52</v>
      </c>
      <c r="T46" s="12" t="s">
        <v>53</v>
      </c>
      <c r="U46" s="12" t="s">
        <v>54</v>
      </c>
      <c r="V46" s="12" t="s">
        <v>55</v>
      </c>
      <c r="W46" s="12" t="s">
        <v>56</v>
      </c>
      <c r="X46" s="12" t="s">
        <v>57</v>
      </c>
      <c r="Y46" s="12" t="s">
        <v>58</v>
      </c>
      <c r="Z46" s="190"/>
      <c r="AA46" s="190"/>
      <c r="AB46" s="432" t="s">
        <v>2</v>
      </c>
      <c r="AC46" s="432" t="s">
        <v>14</v>
      </c>
      <c r="AD46" s="432" t="s">
        <v>15</v>
      </c>
      <c r="AE46" s="432" t="s">
        <v>16</v>
      </c>
      <c r="AF46" s="432" t="s">
        <v>17</v>
      </c>
      <c r="AG46" s="432" t="s">
        <v>18</v>
      </c>
      <c r="AH46" s="432" t="s">
        <v>19</v>
      </c>
      <c r="AI46" s="432" t="s">
        <v>20</v>
      </c>
      <c r="AJ46" s="432" t="s">
        <v>21</v>
      </c>
      <c r="AK46" s="432" t="s">
        <v>22</v>
      </c>
      <c r="AL46" s="190"/>
      <c r="AM46" s="190"/>
      <c r="AN46" s="190"/>
      <c r="AO46" s="190"/>
      <c r="AP46" s="190"/>
      <c r="AQ46" s="190"/>
      <c r="AR46" s="190"/>
      <c r="AS46" s="190"/>
      <c r="AT46" s="190"/>
      <c r="AU46" s="190"/>
      <c r="AV46" s="190"/>
      <c r="AW46" s="190"/>
      <c r="AX46" s="190"/>
      <c r="AY46" s="190"/>
      <c r="AZ46" s="190"/>
      <c r="BA46" s="190"/>
      <c r="BB46" s="190"/>
      <c r="BC46" s="190"/>
      <c r="BD46" s="190"/>
      <c r="BE46" s="190"/>
      <c r="BF46" s="190"/>
      <c r="BG46" s="190"/>
      <c r="BH46" s="190"/>
      <c r="BI46" s="190"/>
      <c r="BJ46" s="190"/>
      <c r="BK46" s="190"/>
      <c r="BL46" s="190"/>
      <c r="BM46" s="190"/>
      <c r="BN46" s="190"/>
      <c r="BO46" s="190"/>
      <c r="BP46" s="190"/>
      <c r="BQ46" s="190"/>
      <c r="BR46" s="190"/>
      <c r="BS46" s="190"/>
      <c r="BT46" s="190"/>
      <c r="BU46" s="190"/>
      <c r="BV46" s="190"/>
      <c r="BW46" s="190"/>
      <c r="BX46" s="190"/>
      <c r="BY46" s="190"/>
      <c r="BZ46" s="190"/>
      <c r="CA46" s="190"/>
      <c r="CB46" s="190"/>
      <c r="CC46" s="190"/>
      <c r="CD46" s="190"/>
      <c r="CE46" s="190"/>
      <c r="CF46" s="190"/>
      <c r="CG46" s="190"/>
      <c r="CH46" s="190"/>
      <c r="CI46" s="190"/>
      <c r="CJ46" s="190"/>
      <c r="CK46" s="190"/>
      <c r="CL46" s="190"/>
      <c r="CM46" s="190"/>
      <c r="CN46" s="190"/>
      <c r="CO46" s="190"/>
      <c r="CP46" s="190"/>
      <c r="CQ46" s="190"/>
      <c r="CR46" s="190"/>
      <c r="CS46" s="190"/>
      <c r="CT46" s="190"/>
      <c r="CU46" s="190"/>
      <c r="CV46" s="190"/>
      <c r="CW46" s="190"/>
      <c r="CX46" s="190"/>
      <c r="CY46" s="190"/>
      <c r="CZ46" s="190"/>
      <c r="DA46" s="190"/>
      <c r="DB46" s="190"/>
      <c r="DC46" s="190"/>
      <c r="DD46" s="190"/>
      <c r="DE46" s="190"/>
      <c r="DF46" s="190"/>
      <c r="DG46" s="190"/>
      <c r="DH46" s="190"/>
      <c r="DI46" s="190"/>
      <c r="DJ46" s="190"/>
      <c r="DK46" s="190"/>
      <c r="DL46" s="190"/>
      <c r="DM46" s="190"/>
      <c r="DN46" s="190"/>
      <c r="DO46" s="190"/>
      <c r="DP46" s="190"/>
      <c r="DQ46" s="190"/>
      <c r="DR46" s="190"/>
      <c r="DS46" s="190"/>
      <c r="DT46" s="190"/>
    </row>
    <row r="47" spans="2:124" x14ac:dyDescent="0.25">
      <c r="B47" s="471" t="s">
        <v>215</v>
      </c>
      <c r="C47" s="472" t="s">
        <v>216</v>
      </c>
      <c r="E47" s="184">
        <v>6</v>
      </c>
      <c r="F47" s="184" t="s">
        <v>217</v>
      </c>
      <c r="G47" s="184">
        <v>93.23</v>
      </c>
      <c r="H47" s="184">
        <f>E47*G47</f>
        <v>559.38</v>
      </c>
      <c r="J47" s="184" t="s">
        <v>172</v>
      </c>
      <c r="K47" s="184" t="s">
        <v>173</v>
      </c>
      <c r="M47" s="190"/>
      <c r="N47" s="184">
        <f>$H$47</f>
        <v>559.38</v>
      </c>
      <c r="O47" s="184">
        <f t="shared" ref="O47:Y47" si="29">$H$47</f>
        <v>559.38</v>
      </c>
      <c r="P47" s="184">
        <f t="shared" si="29"/>
        <v>559.38</v>
      </c>
      <c r="Q47" s="184">
        <f t="shared" si="29"/>
        <v>559.38</v>
      </c>
      <c r="R47" s="184">
        <f t="shared" si="29"/>
        <v>559.38</v>
      </c>
      <c r="S47" s="184">
        <f t="shared" si="29"/>
        <v>559.38</v>
      </c>
      <c r="T47" s="184">
        <f t="shared" si="29"/>
        <v>559.38</v>
      </c>
      <c r="U47" s="184">
        <f t="shared" si="29"/>
        <v>559.38</v>
      </c>
      <c r="V47" s="184">
        <f t="shared" si="29"/>
        <v>559.38</v>
      </c>
      <c r="W47" s="184">
        <f t="shared" si="29"/>
        <v>559.38</v>
      </c>
      <c r="X47" s="184">
        <f t="shared" si="29"/>
        <v>559.38</v>
      </c>
      <c r="Y47" s="184">
        <f t="shared" si="29"/>
        <v>559.38</v>
      </c>
      <c r="Z47" s="190"/>
      <c r="AA47" s="190"/>
      <c r="AB47" s="184">
        <f>SUM(N47:Y47)</f>
        <v>6712.56</v>
      </c>
      <c r="AC47" s="184">
        <f>AB47</f>
        <v>6712.56</v>
      </c>
      <c r="AD47" s="184">
        <f t="shared" ref="AD47:AJ47" si="30">AC47</f>
        <v>6712.56</v>
      </c>
      <c r="AE47" s="184">
        <f t="shared" si="30"/>
        <v>6712.56</v>
      </c>
      <c r="AF47" s="184">
        <f t="shared" si="30"/>
        <v>6712.56</v>
      </c>
      <c r="AG47" s="184">
        <f t="shared" si="30"/>
        <v>6712.56</v>
      </c>
      <c r="AH47" s="184">
        <f t="shared" si="30"/>
        <v>6712.56</v>
      </c>
      <c r="AI47" s="184">
        <f t="shared" si="30"/>
        <v>6712.56</v>
      </c>
      <c r="AJ47" s="184">
        <f t="shared" si="30"/>
        <v>6712.56</v>
      </c>
      <c r="AK47" s="184">
        <f>AJ47</f>
        <v>6712.56</v>
      </c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</row>
    <row r="48" spans="2:124" x14ac:dyDescent="0.25">
      <c r="B48" s="473" t="s">
        <v>218</v>
      </c>
      <c r="C48" s="472" t="s">
        <v>216</v>
      </c>
      <c r="E48" s="184">
        <v>2</v>
      </c>
      <c r="F48" s="184" t="s">
        <v>219</v>
      </c>
      <c r="G48" s="184">
        <v>8.98</v>
      </c>
      <c r="H48" s="184">
        <f t="shared" ref="H48:H64" si="31">E48*G48</f>
        <v>17.96</v>
      </c>
      <c r="J48" s="184" t="s">
        <v>172</v>
      </c>
      <c r="K48" s="184" t="s">
        <v>173</v>
      </c>
      <c r="M48" s="190"/>
      <c r="N48" s="184">
        <f>H48</f>
        <v>17.96</v>
      </c>
      <c r="O48" s="184">
        <f>$N$48</f>
        <v>17.96</v>
      </c>
      <c r="P48" s="184">
        <f t="shared" ref="P48:Y48" si="32">$N$48</f>
        <v>17.96</v>
      </c>
      <c r="Q48" s="184">
        <f t="shared" si="32"/>
        <v>17.96</v>
      </c>
      <c r="R48" s="184">
        <f t="shared" si="32"/>
        <v>17.96</v>
      </c>
      <c r="S48" s="184">
        <f t="shared" si="32"/>
        <v>17.96</v>
      </c>
      <c r="T48" s="184">
        <f t="shared" si="32"/>
        <v>17.96</v>
      </c>
      <c r="U48" s="184">
        <f t="shared" si="32"/>
        <v>17.96</v>
      </c>
      <c r="V48" s="184">
        <f t="shared" si="32"/>
        <v>17.96</v>
      </c>
      <c r="W48" s="184">
        <f t="shared" si="32"/>
        <v>17.96</v>
      </c>
      <c r="X48" s="184">
        <f t="shared" si="32"/>
        <v>17.96</v>
      </c>
      <c r="Y48" s="184">
        <f t="shared" si="32"/>
        <v>17.96</v>
      </c>
      <c r="Z48" s="190"/>
      <c r="AA48" s="190"/>
      <c r="AB48" s="184">
        <f t="shared" ref="AB48:AB65" si="33">SUM(N48:Y48)</f>
        <v>215.52000000000007</v>
      </c>
      <c r="AC48" s="184">
        <f t="shared" ref="AC48:AK65" si="34">AB48</f>
        <v>215.52000000000007</v>
      </c>
      <c r="AD48" s="184">
        <f t="shared" si="34"/>
        <v>215.52000000000007</v>
      </c>
      <c r="AE48" s="184">
        <f t="shared" si="34"/>
        <v>215.52000000000007</v>
      </c>
      <c r="AF48" s="184">
        <f t="shared" si="34"/>
        <v>215.52000000000007</v>
      </c>
      <c r="AG48" s="184">
        <f t="shared" si="34"/>
        <v>215.52000000000007</v>
      </c>
      <c r="AH48" s="184">
        <f t="shared" si="34"/>
        <v>215.52000000000007</v>
      </c>
      <c r="AI48" s="184">
        <f t="shared" si="34"/>
        <v>215.52000000000007</v>
      </c>
      <c r="AJ48" s="184">
        <f t="shared" si="34"/>
        <v>215.52000000000007</v>
      </c>
      <c r="AK48" s="184">
        <f t="shared" si="34"/>
        <v>215.52000000000007</v>
      </c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</row>
    <row r="49" spans="2:124" x14ac:dyDescent="0.25">
      <c r="B49" s="473" t="s">
        <v>220</v>
      </c>
      <c r="C49" s="472" t="s">
        <v>216</v>
      </c>
      <c r="E49" s="184">
        <v>1</v>
      </c>
      <c r="F49" s="184" t="s">
        <v>221</v>
      </c>
      <c r="G49" s="184">
        <v>14.06</v>
      </c>
      <c r="H49" s="184">
        <f t="shared" si="31"/>
        <v>14.06</v>
      </c>
      <c r="J49" s="184" t="s">
        <v>172</v>
      </c>
      <c r="K49" s="184" t="s">
        <v>222</v>
      </c>
      <c r="M49" s="190"/>
      <c r="N49" s="184">
        <f t="shared" ref="N49:N64" si="35">H49</f>
        <v>14.06</v>
      </c>
      <c r="O49" s="184"/>
      <c r="P49" s="184"/>
      <c r="Q49" s="184">
        <f>N49</f>
        <v>14.06</v>
      </c>
      <c r="R49" s="184"/>
      <c r="S49" s="184"/>
      <c r="T49" s="184">
        <f>Q49</f>
        <v>14.06</v>
      </c>
      <c r="U49" s="184"/>
      <c r="V49" s="184"/>
      <c r="W49" s="184">
        <f>T49</f>
        <v>14.06</v>
      </c>
      <c r="X49" s="184"/>
      <c r="Y49" s="184"/>
      <c r="Z49" s="190"/>
      <c r="AA49" s="190"/>
      <c r="AB49" s="184">
        <f t="shared" si="33"/>
        <v>56.24</v>
      </c>
      <c r="AC49" s="184">
        <f t="shared" si="34"/>
        <v>56.24</v>
      </c>
      <c r="AD49" s="184">
        <f t="shared" si="34"/>
        <v>56.24</v>
      </c>
      <c r="AE49" s="184">
        <f t="shared" si="34"/>
        <v>56.24</v>
      </c>
      <c r="AF49" s="184">
        <f t="shared" si="34"/>
        <v>56.24</v>
      </c>
      <c r="AG49" s="184">
        <f t="shared" si="34"/>
        <v>56.24</v>
      </c>
      <c r="AH49" s="184">
        <f t="shared" si="34"/>
        <v>56.24</v>
      </c>
      <c r="AI49" s="184">
        <f t="shared" si="34"/>
        <v>56.24</v>
      </c>
      <c r="AJ49" s="184">
        <f t="shared" si="34"/>
        <v>56.24</v>
      </c>
      <c r="AK49" s="184">
        <f t="shared" si="34"/>
        <v>56.24</v>
      </c>
      <c r="AL49" s="190"/>
      <c r="AM49" s="190"/>
      <c r="AN49" s="190"/>
      <c r="AO49" s="190"/>
      <c r="AP49" s="190"/>
      <c r="AQ49" s="190"/>
      <c r="AR49" s="190"/>
      <c r="AS49" s="190"/>
      <c r="AT49" s="190"/>
      <c r="AU49" s="190"/>
      <c r="AV49" s="190"/>
      <c r="AW49" s="190"/>
      <c r="AX49" s="190"/>
      <c r="AY49" s="190"/>
      <c r="AZ49" s="190"/>
      <c r="BA49" s="190"/>
      <c r="BB49" s="190"/>
      <c r="BC49" s="190"/>
      <c r="BD49" s="190"/>
      <c r="BE49" s="190"/>
      <c r="BF49" s="190"/>
      <c r="BG49" s="190"/>
      <c r="BH49" s="190"/>
      <c r="BI49" s="190"/>
      <c r="BJ49" s="190"/>
      <c r="BK49" s="190"/>
      <c r="BL49" s="190"/>
      <c r="BM49" s="190"/>
      <c r="BN49" s="190"/>
      <c r="BO49" s="190"/>
      <c r="BP49" s="190"/>
      <c r="BQ49" s="190"/>
      <c r="BR49" s="190"/>
      <c r="BS49" s="190"/>
      <c r="BT49" s="190"/>
      <c r="BU49" s="190"/>
      <c r="BV49" s="190"/>
      <c r="BW49" s="190"/>
      <c r="BX49" s="190"/>
      <c r="BY49" s="190"/>
      <c r="BZ49" s="190"/>
      <c r="CA49" s="190"/>
      <c r="CB49" s="190"/>
      <c r="CC49" s="190"/>
      <c r="CD49" s="190"/>
      <c r="CE49" s="190"/>
      <c r="CF49" s="190"/>
      <c r="CG49" s="190"/>
      <c r="CH49" s="190"/>
      <c r="CI49" s="190"/>
      <c r="CJ49" s="190"/>
      <c r="CK49" s="190"/>
      <c r="CL49" s="190"/>
      <c r="CM49" s="190"/>
      <c r="CN49" s="190"/>
      <c r="CO49" s="190"/>
      <c r="CP49" s="190"/>
      <c r="CQ49" s="190"/>
      <c r="CR49" s="190"/>
      <c r="CS49" s="190"/>
      <c r="CT49" s="190"/>
      <c r="CU49" s="190"/>
      <c r="CV49" s="190"/>
      <c r="CW49" s="190"/>
      <c r="CX49" s="190"/>
      <c r="CY49" s="190"/>
      <c r="CZ49" s="190"/>
      <c r="DA49" s="190"/>
      <c r="DB49" s="190"/>
      <c r="DC49" s="190"/>
      <c r="DD49" s="190"/>
      <c r="DE49" s="190"/>
      <c r="DF49" s="190"/>
      <c r="DG49" s="190"/>
      <c r="DH49" s="190"/>
      <c r="DI49" s="190"/>
      <c r="DJ49" s="190"/>
      <c r="DK49" s="190"/>
      <c r="DL49" s="190"/>
      <c r="DM49" s="190"/>
      <c r="DN49" s="190"/>
      <c r="DO49" s="190"/>
      <c r="DP49" s="190"/>
      <c r="DQ49" s="190"/>
      <c r="DR49" s="190"/>
      <c r="DS49" s="190"/>
      <c r="DT49" s="190"/>
    </row>
    <row r="50" spans="2:124" x14ac:dyDescent="0.25">
      <c r="B50" s="473" t="s">
        <v>223</v>
      </c>
      <c r="C50" s="472" t="s">
        <v>216</v>
      </c>
      <c r="E50" s="184">
        <v>1</v>
      </c>
      <c r="F50" s="184" t="s">
        <v>224</v>
      </c>
      <c r="G50" s="184">
        <v>19.59</v>
      </c>
      <c r="H50" s="184">
        <f t="shared" si="31"/>
        <v>19.59</v>
      </c>
      <c r="J50" s="184" t="s">
        <v>172</v>
      </c>
      <c r="K50" s="184" t="s">
        <v>173</v>
      </c>
      <c r="M50" s="190"/>
      <c r="N50" s="184">
        <f t="shared" si="35"/>
        <v>19.59</v>
      </c>
      <c r="O50" s="184">
        <f>$N$50</f>
        <v>19.59</v>
      </c>
      <c r="P50" s="184">
        <f t="shared" ref="P50:Y50" si="36">$N$50</f>
        <v>19.59</v>
      </c>
      <c r="Q50" s="184">
        <f t="shared" si="36"/>
        <v>19.59</v>
      </c>
      <c r="R50" s="184">
        <f t="shared" si="36"/>
        <v>19.59</v>
      </c>
      <c r="S50" s="184">
        <f t="shared" si="36"/>
        <v>19.59</v>
      </c>
      <c r="T50" s="184">
        <f t="shared" si="36"/>
        <v>19.59</v>
      </c>
      <c r="U50" s="184">
        <f t="shared" si="36"/>
        <v>19.59</v>
      </c>
      <c r="V50" s="184">
        <f t="shared" si="36"/>
        <v>19.59</v>
      </c>
      <c r="W50" s="184">
        <f t="shared" si="36"/>
        <v>19.59</v>
      </c>
      <c r="X50" s="184">
        <f t="shared" si="36"/>
        <v>19.59</v>
      </c>
      <c r="Y50" s="184">
        <f t="shared" si="36"/>
        <v>19.59</v>
      </c>
      <c r="Z50" s="190"/>
      <c r="AA50" s="190"/>
      <c r="AB50" s="184">
        <f t="shared" si="33"/>
        <v>235.08</v>
      </c>
      <c r="AC50" s="184">
        <f t="shared" si="34"/>
        <v>235.08</v>
      </c>
      <c r="AD50" s="184">
        <f t="shared" si="34"/>
        <v>235.08</v>
      </c>
      <c r="AE50" s="184">
        <f t="shared" si="34"/>
        <v>235.08</v>
      </c>
      <c r="AF50" s="184">
        <f t="shared" si="34"/>
        <v>235.08</v>
      </c>
      <c r="AG50" s="184">
        <f t="shared" si="34"/>
        <v>235.08</v>
      </c>
      <c r="AH50" s="184">
        <f t="shared" si="34"/>
        <v>235.08</v>
      </c>
      <c r="AI50" s="184">
        <f t="shared" si="34"/>
        <v>235.08</v>
      </c>
      <c r="AJ50" s="184">
        <f t="shared" si="34"/>
        <v>235.08</v>
      </c>
      <c r="AK50" s="184">
        <f t="shared" si="34"/>
        <v>235.08</v>
      </c>
      <c r="AL50" s="190"/>
      <c r="AM50" s="190"/>
      <c r="AN50" s="190"/>
      <c r="AO50" s="190"/>
      <c r="AP50" s="190"/>
      <c r="AQ50" s="190"/>
      <c r="AR50" s="190"/>
      <c r="AS50" s="190"/>
      <c r="AT50" s="190"/>
      <c r="AU50" s="190"/>
      <c r="AV50" s="190"/>
      <c r="AW50" s="190"/>
      <c r="AX50" s="190"/>
      <c r="AY50" s="190"/>
      <c r="AZ50" s="190"/>
      <c r="BA50" s="190"/>
      <c r="BB50" s="190"/>
      <c r="BC50" s="190"/>
      <c r="BD50" s="190"/>
      <c r="BE50" s="190"/>
      <c r="BF50" s="190"/>
      <c r="BG50" s="190"/>
      <c r="BH50" s="190"/>
      <c r="BI50" s="190"/>
      <c r="BJ50" s="190"/>
      <c r="BK50" s="190"/>
      <c r="BL50" s="190"/>
      <c r="BM50" s="190"/>
      <c r="BN50" s="190"/>
      <c r="BO50" s="190"/>
      <c r="BP50" s="190"/>
      <c r="BQ50" s="190"/>
      <c r="BR50" s="190"/>
      <c r="BS50" s="190"/>
      <c r="BT50" s="190"/>
      <c r="BU50" s="190"/>
      <c r="BV50" s="190"/>
      <c r="BW50" s="190"/>
      <c r="BX50" s="190"/>
      <c r="BY50" s="190"/>
      <c r="BZ50" s="190"/>
      <c r="CA50" s="190"/>
      <c r="CB50" s="190"/>
      <c r="CC50" s="190"/>
      <c r="CD50" s="190"/>
      <c r="CE50" s="190"/>
      <c r="CF50" s="190"/>
      <c r="CG50" s="190"/>
      <c r="CH50" s="190"/>
      <c r="CI50" s="190"/>
      <c r="CJ50" s="190"/>
      <c r="CK50" s="190"/>
      <c r="CL50" s="190"/>
      <c r="CM50" s="190"/>
      <c r="CN50" s="190"/>
      <c r="CO50" s="190"/>
      <c r="CP50" s="190"/>
      <c r="CQ50" s="190"/>
      <c r="CR50" s="190"/>
      <c r="CS50" s="190"/>
      <c r="CT50" s="190"/>
      <c r="CU50" s="190"/>
      <c r="CV50" s="190"/>
      <c r="CW50" s="190"/>
      <c r="CX50" s="190"/>
      <c r="CY50" s="190"/>
      <c r="CZ50" s="190"/>
      <c r="DA50" s="190"/>
      <c r="DB50" s="190"/>
      <c r="DC50" s="190"/>
      <c r="DD50" s="190"/>
      <c r="DE50" s="190"/>
      <c r="DF50" s="190"/>
      <c r="DG50" s="190"/>
      <c r="DH50" s="190"/>
      <c r="DI50" s="190"/>
      <c r="DJ50" s="190"/>
      <c r="DK50" s="190"/>
      <c r="DL50" s="190"/>
      <c r="DM50" s="190"/>
      <c r="DN50" s="190"/>
      <c r="DO50" s="190"/>
      <c r="DP50" s="190"/>
      <c r="DQ50" s="190"/>
      <c r="DR50" s="190"/>
      <c r="DS50" s="190"/>
      <c r="DT50" s="190"/>
    </row>
    <row r="51" spans="2:124" x14ac:dyDescent="0.25">
      <c r="B51" s="466" t="s">
        <v>225</v>
      </c>
      <c r="C51" s="206" t="s">
        <v>216</v>
      </c>
      <c r="E51" s="184">
        <v>2</v>
      </c>
      <c r="F51" s="184" t="s">
        <v>226</v>
      </c>
      <c r="G51" s="184">
        <v>2.15</v>
      </c>
      <c r="H51" s="184">
        <f t="shared" si="31"/>
        <v>4.3</v>
      </c>
      <c r="J51" s="184" t="s">
        <v>172</v>
      </c>
      <c r="K51" s="184" t="s">
        <v>196</v>
      </c>
      <c r="M51" s="190"/>
      <c r="N51" s="184">
        <f t="shared" si="35"/>
        <v>4.3</v>
      </c>
      <c r="O51" s="184"/>
      <c r="P51" s="184"/>
      <c r="Q51" s="184"/>
      <c r="R51" s="184"/>
      <c r="S51" s="184"/>
      <c r="T51" s="184"/>
      <c r="U51" s="184"/>
      <c r="V51" s="184"/>
      <c r="W51" s="184"/>
      <c r="X51" s="184"/>
      <c r="Y51" s="184"/>
      <c r="Z51" s="190"/>
      <c r="AA51" s="190"/>
      <c r="AB51" s="184">
        <f t="shared" si="33"/>
        <v>4.3</v>
      </c>
      <c r="AC51" s="184">
        <f t="shared" si="34"/>
        <v>4.3</v>
      </c>
      <c r="AD51" s="184">
        <f t="shared" si="34"/>
        <v>4.3</v>
      </c>
      <c r="AE51" s="184">
        <f t="shared" si="34"/>
        <v>4.3</v>
      </c>
      <c r="AF51" s="184">
        <f t="shared" si="34"/>
        <v>4.3</v>
      </c>
      <c r="AG51" s="184">
        <f t="shared" si="34"/>
        <v>4.3</v>
      </c>
      <c r="AH51" s="184">
        <f t="shared" si="34"/>
        <v>4.3</v>
      </c>
      <c r="AI51" s="184">
        <f t="shared" si="34"/>
        <v>4.3</v>
      </c>
      <c r="AJ51" s="184">
        <f t="shared" si="34"/>
        <v>4.3</v>
      </c>
      <c r="AK51" s="184">
        <f t="shared" si="34"/>
        <v>4.3</v>
      </c>
      <c r="AL51" s="190"/>
      <c r="AM51" s="190"/>
      <c r="AN51" s="190"/>
      <c r="AO51" s="190"/>
      <c r="AP51" s="190"/>
      <c r="AQ51" s="190"/>
      <c r="AR51" s="190"/>
      <c r="AS51" s="190"/>
      <c r="AT51" s="190"/>
      <c r="AU51" s="190"/>
      <c r="AV51" s="190"/>
      <c r="AW51" s="190"/>
      <c r="AX51" s="190"/>
      <c r="AY51" s="190"/>
      <c r="AZ51" s="190"/>
      <c r="BA51" s="190"/>
      <c r="BB51" s="190"/>
      <c r="BC51" s="190"/>
      <c r="BD51" s="190"/>
      <c r="BE51" s="190"/>
      <c r="BF51" s="190"/>
      <c r="BG51" s="190"/>
      <c r="BH51" s="190"/>
      <c r="BI51" s="190"/>
      <c r="BJ51" s="190"/>
      <c r="BK51" s="190"/>
      <c r="BL51" s="190"/>
      <c r="BM51" s="190"/>
      <c r="BN51" s="190"/>
      <c r="BO51" s="190"/>
      <c r="BP51" s="190"/>
      <c r="BQ51" s="190"/>
      <c r="BR51" s="190"/>
      <c r="BS51" s="190"/>
      <c r="BT51" s="190"/>
      <c r="BU51" s="190"/>
      <c r="BV51" s="190"/>
      <c r="BW51" s="190"/>
      <c r="BX51" s="190"/>
      <c r="BY51" s="190"/>
      <c r="BZ51" s="190"/>
      <c r="CA51" s="190"/>
      <c r="CB51" s="190"/>
      <c r="CC51" s="190"/>
      <c r="CD51" s="190"/>
      <c r="CE51" s="190"/>
      <c r="CF51" s="190"/>
      <c r="CG51" s="190"/>
      <c r="CH51" s="190"/>
      <c r="CI51" s="190"/>
      <c r="CJ51" s="190"/>
      <c r="CK51" s="190"/>
      <c r="CL51" s="190"/>
      <c r="CM51" s="190"/>
      <c r="CN51" s="190"/>
      <c r="CO51" s="190"/>
      <c r="CP51" s="190"/>
      <c r="CQ51" s="190"/>
      <c r="CR51" s="190"/>
      <c r="CS51" s="190"/>
      <c r="CT51" s="190"/>
      <c r="CU51" s="190"/>
      <c r="CV51" s="190"/>
      <c r="CW51" s="190"/>
      <c r="CX51" s="190"/>
      <c r="CY51" s="190"/>
      <c r="CZ51" s="190"/>
      <c r="DA51" s="190"/>
      <c r="DB51" s="190"/>
      <c r="DC51" s="190"/>
      <c r="DD51" s="190"/>
      <c r="DE51" s="190"/>
      <c r="DF51" s="190"/>
      <c r="DG51" s="190"/>
      <c r="DH51" s="190"/>
      <c r="DI51" s="190"/>
      <c r="DJ51" s="190"/>
      <c r="DK51" s="190"/>
      <c r="DL51" s="190"/>
      <c r="DM51" s="190"/>
      <c r="DN51" s="190"/>
      <c r="DO51" s="190"/>
      <c r="DP51" s="190"/>
      <c r="DQ51" s="190"/>
      <c r="DR51" s="190"/>
      <c r="DS51" s="190"/>
      <c r="DT51" s="190"/>
    </row>
    <row r="52" spans="2:124" x14ac:dyDescent="0.25">
      <c r="B52" s="451" t="s">
        <v>227</v>
      </c>
      <c r="C52" s="206" t="s">
        <v>216</v>
      </c>
      <c r="E52" s="184">
        <v>8</v>
      </c>
      <c r="F52" s="184" t="s">
        <v>226</v>
      </c>
      <c r="G52" s="184">
        <v>9.8559999999999999</v>
      </c>
      <c r="H52" s="184">
        <f t="shared" si="31"/>
        <v>78.847999999999999</v>
      </c>
      <c r="J52" s="184" t="s">
        <v>172</v>
      </c>
      <c r="K52" s="184" t="s">
        <v>196</v>
      </c>
      <c r="M52" s="190"/>
      <c r="N52" s="184">
        <f t="shared" si="35"/>
        <v>78.847999999999999</v>
      </c>
      <c r="O52" s="184"/>
      <c r="P52" s="184"/>
      <c r="Q52" s="184"/>
      <c r="R52" s="184"/>
      <c r="S52" s="184"/>
      <c r="T52" s="184"/>
      <c r="U52" s="184"/>
      <c r="V52" s="184"/>
      <c r="W52" s="184"/>
      <c r="X52" s="184"/>
      <c r="Y52" s="184"/>
      <c r="Z52" s="190"/>
      <c r="AA52" s="190"/>
      <c r="AB52" s="184">
        <f t="shared" si="33"/>
        <v>78.847999999999999</v>
      </c>
      <c r="AC52" s="184">
        <f t="shared" si="34"/>
        <v>78.847999999999999</v>
      </c>
      <c r="AD52" s="184">
        <f t="shared" si="34"/>
        <v>78.847999999999999</v>
      </c>
      <c r="AE52" s="184">
        <f t="shared" si="34"/>
        <v>78.847999999999999</v>
      </c>
      <c r="AF52" s="184">
        <f t="shared" si="34"/>
        <v>78.847999999999999</v>
      </c>
      <c r="AG52" s="184">
        <f t="shared" si="34"/>
        <v>78.847999999999999</v>
      </c>
      <c r="AH52" s="184">
        <f t="shared" si="34"/>
        <v>78.847999999999999</v>
      </c>
      <c r="AI52" s="184">
        <f t="shared" si="34"/>
        <v>78.847999999999999</v>
      </c>
      <c r="AJ52" s="184">
        <f t="shared" si="34"/>
        <v>78.847999999999999</v>
      </c>
      <c r="AK52" s="184">
        <f t="shared" si="34"/>
        <v>78.847999999999999</v>
      </c>
      <c r="AL52" s="190"/>
      <c r="AM52" s="190"/>
      <c r="AN52" s="190"/>
      <c r="AO52" s="190"/>
      <c r="AP52" s="190"/>
      <c r="AQ52" s="190"/>
      <c r="AR52" s="190"/>
      <c r="AS52" s="190"/>
      <c r="AT52" s="190"/>
      <c r="AU52" s="190"/>
      <c r="AV52" s="190"/>
      <c r="AW52" s="190"/>
      <c r="AX52" s="190"/>
      <c r="AY52" s="190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0"/>
      <c r="BZ52" s="190"/>
      <c r="CA52" s="190"/>
      <c r="CB52" s="190"/>
      <c r="CC52" s="190"/>
      <c r="CD52" s="190"/>
      <c r="CE52" s="190"/>
      <c r="CF52" s="190"/>
      <c r="CG52" s="190"/>
      <c r="CH52" s="190"/>
      <c r="CI52" s="190"/>
      <c r="CJ52" s="190"/>
      <c r="CK52" s="190"/>
      <c r="CL52" s="190"/>
      <c r="CM52" s="190"/>
      <c r="CN52" s="190"/>
      <c r="CO52" s="190"/>
      <c r="CP52" s="190"/>
      <c r="CQ52" s="190"/>
      <c r="CR52" s="190"/>
      <c r="CS52" s="190"/>
      <c r="CT52" s="190"/>
      <c r="CU52" s="190"/>
      <c r="CV52" s="190"/>
      <c r="CW52" s="190"/>
      <c r="CX52" s="190"/>
      <c r="CY52" s="190"/>
      <c r="CZ52" s="190"/>
      <c r="DA52" s="190"/>
      <c r="DB52" s="190"/>
      <c r="DC52" s="190"/>
      <c r="DD52" s="190"/>
      <c r="DE52" s="190"/>
      <c r="DF52" s="190"/>
      <c r="DG52" s="190"/>
      <c r="DH52" s="190"/>
      <c r="DI52" s="190"/>
      <c r="DJ52" s="190"/>
      <c r="DK52" s="190"/>
      <c r="DL52" s="190"/>
      <c r="DM52" s="190"/>
      <c r="DN52" s="190"/>
      <c r="DO52" s="190"/>
      <c r="DP52" s="190"/>
      <c r="DQ52" s="190"/>
      <c r="DR52" s="190"/>
      <c r="DS52" s="190"/>
      <c r="DT52" s="190"/>
    </row>
    <row r="53" spans="2:124" x14ac:dyDescent="0.25">
      <c r="B53" s="474" t="s">
        <v>228</v>
      </c>
      <c r="C53" s="206" t="s">
        <v>216</v>
      </c>
      <c r="E53" s="184">
        <v>2</v>
      </c>
      <c r="F53" s="184" t="s">
        <v>226</v>
      </c>
      <c r="G53" s="184"/>
      <c r="H53" s="184">
        <f t="shared" si="31"/>
        <v>0</v>
      </c>
      <c r="J53" s="184" t="s">
        <v>172</v>
      </c>
      <c r="K53" s="184" t="s">
        <v>196</v>
      </c>
      <c r="M53" s="190"/>
      <c r="N53" s="184">
        <f t="shared" si="35"/>
        <v>0</v>
      </c>
      <c r="O53" s="184"/>
      <c r="P53" s="184"/>
      <c r="Q53" s="184"/>
      <c r="R53" s="184"/>
      <c r="S53" s="184"/>
      <c r="T53" s="184"/>
      <c r="U53" s="184"/>
      <c r="V53" s="184"/>
      <c r="W53" s="184"/>
      <c r="X53" s="184"/>
      <c r="Y53" s="184"/>
      <c r="Z53" s="190"/>
      <c r="AA53" s="190"/>
      <c r="AB53" s="184">
        <f t="shared" si="33"/>
        <v>0</v>
      </c>
      <c r="AC53" s="184">
        <f t="shared" si="34"/>
        <v>0</v>
      </c>
      <c r="AD53" s="184">
        <f t="shared" si="34"/>
        <v>0</v>
      </c>
      <c r="AE53" s="184">
        <f t="shared" si="34"/>
        <v>0</v>
      </c>
      <c r="AF53" s="184">
        <f t="shared" si="34"/>
        <v>0</v>
      </c>
      <c r="AG53" s="184">
        <f t="shared" si="34"/>
        <v>0</v>
      </c>
      <c r="AH53" s="184">
        <f t="shared" si="34"/>
        <v>0</v>
      </c>
      <c r="AI53" s="184">
        <f t="shared" si="34"/>
        <v>0</v>
      </c>
      <c r="AJ53" s="184">
        <f t="shared" si="34"/>
        <v>0</v>
      </c>
      <c r="AK53" s="184">
        <f t="shared" si="34"/>
        <v>0</v>
      </c>
      <c r="AL53" s="190"/>
      <c r="AM53" s="190"/>
      <c r="AN53" s="190"/>
      <c r="AO53" s="190"/>
      <c r="AP53" s="190"/>
      <c r="AQ53" s="190"/>
      <c r="AR53" s="190"/>
      <c r="AS53" s="190"/>
      <c r="AT53" s="190"/>
      <c r="AU53" s="190"/>
      <c r="AV53" s="190"/>
      <c r="AW53" s="190"/>
      <c r="AX53" s="190"/>
      <c r="AY53" s="190"/>
      <c r="AZ53" s="190"/>
      <c r="BA53" s="190"/>
      <c r="BB53" s="190"/>
      <c r="BC53" s="190"/>
      <c r="BD53" s="190"/>
      <c r="BE53" s="190"/>
      <c r="BF53" s="190"/>
      <c r="BG53" s="190"/>
      <c r="BH53" s="190"/>
      <c r="BI53" s="190"/>
      <c r="BJ53" s="190"/>
      <c r="BK53" s="190"/>
      <c r="BL53" s="190"/>
      <c r="BM53" s="190"/>
      <c r="BN53" s="190"/>
      <c r="BO53" s="190"/>
      <c r="BP53" s="190"/>
      <c r="BQ53" s="190"/>
      <c r="BR53" s="190"/>
      <c r="BS53" s="190"/>
      <c r="BT53" s="190"/>
      <c r="BU53" s="190"/>
      <c r="BV53" s="190"/>
      <c r="BW53" s="190"/>
      <c r="BX53" s="190"/>
      <c r="BY53" s="190"/>
      <c r="BZ53" s="190"/>
      <c r="CA53" s="190"/>
      <c r="CB53" s="190"/>
      <c r="CC53" s="190"/>
      <c r="CD53" s="190"/>
      <c r="CE53" s="190"/>
      <c r="CF53" s="190"/>
      <c r="CG53" s="190"/>
      <c r="CH53" s="190"/>
      <c r="CI53" s="190"/>
      <c r="CJ53" s="190"/>
      <c r="CK53" s="190"/>
      <c r="CL53" s="190"/>
      <c r="CM53" s="190"/>
      <c r="CN53" s="190"/>
      <c r="CO53" s="190"/>
      <c r="CP53" s="190"/>
      <c r="CQ53" s="190"/>
      <c r="CR53" s="190"/>
      <c r="CS53" s="190"/>
      <c r="CT53" s="190"/>
      <c r="CU53" s="190"/>
      <c r="CV53" s="190"/>
      <c r="CW53" s="190"/>
      <c r="CX53" s="190"/>
      <c r="CY53" s="190"/>
      <c r="CZ53" s="190"/>
      <c r="DA53" s="190"/>
      <c r="DB53" s="190"/>
      <c r="DC53" s="190"/>
      <c r="DD53" s="190"/>
      <c r="DE53" s="190"/>
      <c r="DF53" s="190"/>
      <c r="DG53" s="190"/>
      <c r="DH53" s="190"/>
      <c r="DI53" s="190"/>
      <c r="DJ53" s="190"/>
      <c r="DK53" s="190"/>
      <c r="DL53" s="190"/>
      <c r="DM53" s="190"/>
      <c r="DN53" s="190"/>
      <c r="DO53" s="190"/>
      <c r="DP53" s="190"/>
      <c r="DQ53" s="190"/>
      <c r="DR53" s="190"/>
      <c r="DS53" s="190"/>
      <c r="DT53" s="190"/>
    </row>
    <row r="54" spans="2:124" x14ac:dyDescent="0.25">
      <c r="B54" s="451" t="s">
        <v>229</v>
      </c>
      <c r="C54" s="206" t="s">
        <v>216</v>
      </c>
      <c r="E54" s="184">
        <v>3</v>
      </c>
      <c r="F54" s="184" t="s">
        <v>230</v>
      </c>
      <c r="G54" s="184">
        <v>1.85</v>
      </c>
      <c r="H54" s="184">
        <f t="shared" si="31"/>
        <v>5.5500000000000007</v>
      </c>
      <c r="J54" s="184" t="s">
        <v>172</v>
      </c>
      <c r="K54" s="184" t="s">
        <v>173</v>
      </c>
      <c r="M54" s="190"/>
      <c r="N54" s="184">
        <f t="shared" si="35"/>
        <v>5.5500000000000007</v>
      </c>
      <c r="O54" s="184">
        <f>$N$54</f>
        <v>5.5500000000000007</v>
      </c>
      <c r="P54" s="184">
        <f t="shared" ref="P54:X54" si="37">$N$54</f>
        <v>5.5500000000000007</v>
      </c>
      <c r="Q54" s="184">
        <f t="shared" si="37"/>
        <v>5.5500000000000007</v>
      </c>
      <c r="R54" s="184">
        <f t="shared" si="37"/>
        <v>5.5500000000000007</v>
      </c>
      <c r="S54" s="184">
        <f t="shared" si="37"/>
        <v>5.5500000000000007</v>
      </c>
      <c r="T54" s="184">
        <f t="shared" si="37"/>
        <v>5.5500000000000007</v>
      </c>
      <c r="U54" s="184">
        <f t="shared" si="37"/>
        <v>5.5500000000000007</v>
      </c>
      <c r="V54" s="184">
        <f t="shared" si="37"/>
        <v>5.5500000000000007</v>
      </c>
      <c r="W54" s="184">
        <f t="shared" si="37"/>
        <v>5.5500000000000007</v>
      </c>
      <c r="X54" s="184">
        <f t="shared" si="37"/>
        <v>5.5500000000000007</v>
      </c>
      <c r="Y54" s="184">
        <f>$N$54</f>
        <v>5.5500000000000007</v>
      </c>
      <c r="Z54" s="190"/>
      <c r="AA54" s="190"/>
      <c r="AB54" s="184">
        <f t="shared" si="33"/>
        <v>66.599999999999994</v>
      </c>
      <c r="AC54" s="184">
        <f t="shared" si="34"/>
        <v>66.599999999999994</v>
      </c>
      <c r="AD54" s="184">
        <f t="shared" si="34"/>
        <v>66.599999999999994</v>
      </c>
      <c r="AE54" s="184">
        <f t="shared" si="34"/>
        <v>66.599999999999994</v>
      </c>
      <c r="AF54" s="184">
        <f t="shared" si="34"/>
        <v>66.599999999999994</v>
      </c>
      <c r="AG54" s="184">
        <f t="shared" si="34"/>
        <v>66.599999999999994</v>
      </c>
      <c r="AH54" s="184">
        <f t="shared" si="34"/>
        <v>66.599999999999994</v>
      </c>
      <c r="AI54" s="184">
        <f t="shared" si="34"/>
        <v>66.599999999999994</v>
      </c>
      <c r="AJ54" s="184">
        <f t="shared" si="34"/>
        <v>66.599999999999994</v>
      </c>
      <c r="AK54" s="184">
        <f t="shared" si="34"/>
        <v>66.599999999999994</v>
      </c>
      <c r="AL54" s="190"/>
      <c r="AM54" s="190"/>
      <c r="AN54" s="190"/>
      <c r="AO54" s="190"/>
      <c r="AP54" s="190"/>
      <c r="AQ54" s="190"/>
      <c r="AR54" s="190"/>
      <c r="AS54" s="190"/>
      <c r="AT54" s="190"/>
      <c r="AU54" s="190"/>
      <c r="AV54" s="190"/>
      <c r="AW54" s="190"/>
      <c r="AX54" s="190"/>
      <c r="AY54" s="190"/>
      <c r="AZ54" s="190"/>
      <c r="BA54" s="190"/>
      <c r="BB54" s="190"/>
      <c r="BC54" s="190"/>
      <c r="BD54" s="190"/>
      <c r="BE54" s="190"/>
      <c r="BF54" s="190"/>
      <c r="BG54" s="190"/>
      <c r="BH54" s="190"/>
      <c r="BI54" s="190"/>
      <c r="BJ54" s="190"/>
      <c r="BK54" s="190"/>
      <c r="BL54" s="190"/>
      <c r="BM54" s="190"/>
      <c r="BN54" s="190"/>
      <c r="BO54" s="190"/>
      <c r="BP54" s="190"/>
      <c r="BQ54" s="190"/>
      <c r="BR54" s="190"/>
      <c r="BS54" s="190"/>
      <c r="BT54" s="190"/>
      <c r="BU54" s="190"/>
      <c r="BV54" s="190"/>
      <c r="BW54" s="190"/>
      <c r="BX54" s="190"/>
      <c r="BY54" s="190"/>
      <c r="BZ54" s="190"/>
      <c r="CA54" s="190"/>
      <c r="CB54" s="190"/>
      <c r="CC54" s="190"/>
      <c r="CD54" s="190"/>
      <c r="CE54" s="190"/>
      <c r="CF54" s="190"/>
      <c r="CG54" s="190"/>
      <c r="CH54" s="190"/>
      <c r="CI54" s="190"/>
      <c r="CJ54" s="190"/>
      <c r="CK54" s="190"/>
      <c r="CL54" s="190"/>
      <c r="CM54" s="190"/>
      <c r="CN54" s="190"/>
      <c r="CO54" s="190"/>
      <c r="CP54" s="190"/>
      <c r="CQ54" s="190"/>
      <c r="CR54" s="190"/>
      <c r="CS54" s="190"/>
      <c r="CT54" s="190"/>
      <c r="CU54" s="190"/>
      <c r="CV54" s="190"/>
      <c r="CW54" s="190"/>
      <c r="CX54" s="190"/>
      <c r="CY54" s="190"/>
      <c r="CZ54" s="190"/>
      <c r="DA54" s="190"/>
      <c r="DB54" s="190"/>
      <c r="DC54" s="190"/>
      <c r="DD54" s="190"/>
      <c r="DE54" s="190"/>
      <c r="DF54" s="190"/>
      <c r="DG54" s="190"/>
      <c r="DH54" s="190"/>
      <c r="DI54" s="190"/>
      <c r="DJ54" s="190"/>
      <c r="DK54" s="190"/>
      <c r="DL54" s="190"/>
      <c r="DM54" s="190"/>
      <c r="DN54" s="190"/>
      <c r="DO54" s="190"/>
      <c r="DP54" s="190"/>
      <c r="DQ54" s="190"/>
      <c r="DR54" s="190"/>
      <c r="DS54" s="190"/>
      <c r="DT54" s="190"/>
    </row>
    <row r="55" spans="2:124" x14ac:dyDescent="0.25">
      <c r="B55" s="451" t="s">
        <v>231</v>
      </c>
      <c r="C55" s="206" t="s">
        <v>216</v>
      </c>
      <c r="E55" s="184">
        <v>1</v>
      </c>
      <c r="F55" s="184" t="s">
        <v>226</v>
      </c>
      <c r="G55" s="184">
        <v>68</v>
      </c>
      <c r="H55" s="184">
        <f t="shared" si="31"/>
        <v>68</v>
      </c>
      <c r="J55" s="184" t="s">
        <v>172</v>
      </c>
      <c r="K55" s="184" t="s">
        <v>173</v>
      </c>
      <c r="M55" s="190"/>
      <c r="N55" s="184">
        <f t="shared" si="35"/>
        <v>68</v>
      </c>
      <c r="O55" s="184">
        <f>$N$55</f>
        <v>68</v>
      </c>
      <c r="P55" s="184">
        <f t="shared" ref="P55:Y55" si="38">$N$55</f>
        <v>68</v>
      </c>
      <c r="Q55" s="184">
        <f t="shared" si="38"/>
        <v>68</v>
      </c>
      <c r="R55" s="184">
        <f t="shared" si="38"/>
        <v>68</v>
      </c>
      <c r="S55" s="184">
        <f t="shared" si="38"/>
        <v>68</v>
      </c>
      <c r="T55" s="184">
        <f t="shared" si="38"/>
        <v>68</v>
      </c>
      <c r="U55" s="184">
        <f t="shared" si="38"/>
        <v>68</v>
      </c>
      <c r="V55" s="184">
        <f t="shared" si="38"/>
        <v>68</v>
      </c>
      <c r="W55" s="184">
        <f t="shared" si="38"/>
        <v>68</v>
      </c>
      <c r="X55" s="184">
        <f t="shared" si="38"/>
        <v>68</v>
      </c>
      <c r="Y55" s="184">
        <f t="shared" si="38"/>
        <v>68</v>
      </c>
      <c r="Z55" s="190"/>
      <c r="AA55" s="190"/>
      <c r="AB55" s="184">
        <f t="shared" si="33"/>
        <v>816</v>
      </c>
      <c r="AC55" s="184">
        <f t="shared" si="34"/>
        <v>816</v>
      </c>
      <c r="AD55" s="184">
        <f t="shared" si="34"/>
        <v>816</v>
      </c>
      <c r="AE55" s="184">
        <f t="shared" si="34"/>
        <v>816</v>
      </c>
      <c r="AF55" s="184">
        <f t="shared" si="34"/>
        <v>816</v>
      </c>
      <c r="AG55" s="184">
        <f t="shared" si="34"/>
        <v>816</v>
      </c>
      <c r="AH55" s="184">
        <f t="shared" si="34"/>
        <v>816</v>
      </c>
      <c r="AI55" s="184">
        <f t="shared" si="34"/>
        <v>816</v>
      </c>
      <c r="AJ55" s="184">
        <f t="shared" si="34"/>
        <v>816</v>
      </c>
      <c r="AK55" s="184">
        <f t="shared" si="34"/>
        <v>816</v>
      </c>
      <c r="AL55" s="190"/>
      <c r="AM55" s="190"/>
      <c r="AN55" s="190"/>
      <c r="AO55" s="190"/>
      <c r="AP55" s="190"/>
      <c r="AQ55" s="190"/>
      <c r="AR55" s="190"/>
      <c r="AS55" s="190"/>
      <c r="AT55" s="190"/>
      <c r="AU55" s="190"/>
      <c r="AV55" s="190"/>
      <c r="AW55" s="190"/>
      <c r="AX55" s="190"/>
      <c r="AY55" s="190"/>
      <c r="AZ55" s="190"/>
      <c r="BA55" s="190"/>
      <c r="BB55" s="190"/>
      <c r="BC55" s="190"/>
      <c r="BD55" s="190"/>
      <c r="BE55" s="190"/>
      <c r="BF55" s="190"/>
      <c r="BG55" s="190"/>
      <c r="BH55" s="190"/>
      <c r="BI55" s="190"/>
      <c r="BJ55" s="190"/>
      <c r="BK55" s="190"/>
      <c r="BL55" s="190"/>
      <c r="BM55" s="190"/>
      <c r="BN55" s="190"/>
      <c r="BO55" s="190"/>
      <c r="BP55" s="190"/>
      <c r="BQ55" s="190"/>
      <c r="BR55" s="190"/>
      <c r="BS55" s="190"/>
      <c r="BT55" s="190"/>
      <c r="BU55" s="190"/>
      <c r="BV55" s="190"/>
      <c r="BW55" s="190"/>
      <c r="BX55" s="190"/>
      <c r="BY55" s="190"/>
      <c r="BZ55" s="190"/>
      <c r="CA55" s="190"/>
      <c r="CB55" s="190"/>
      <c r="CC55" s="190"/>
      <c r="CD55" s="190"/>
      <c r="CE55" s="190"/>
      <c r="CF55" s="190"/>
      <c r="CG55" s="190"/>
      <c r="CH55" s="190"/>
      <c r="CI55" s="190"/>
      <c r="CJ55" s="190"/>
      <c r="CK55" s="190"/>
      <c r="CL55" s="190"/>
      <c r="CM55" s="190"/>
      <c r="CN55" s="190"/>
      <c r="CO55" s="190"/>
      <c r="CP55" s="190"/>
      <c r="CQ55" s="190"/>
      <c r="CR55" s="190"/>
      <c r="CS55" s="190"/>
      <c r="CT55" s="190"/>
      <c r="CU55" s="190"/>
      <c r="CV55" s="190"/>
      <c r="CW55" s="190"/>
      <c r="CX55" s="190"/>
      <c r="CY55" s="190"/>
      <c r="CZ55" s="190"/>
      <c r="DA55" s="190"/>
      <c r="DB55" s="190"/>
      <c r="DC55" s="190"/>
      <c r="DD55" s="190"/>
      <c r="DE55" s="190"/>
      <c r="DF55" s="190"/>
      <c r="DG55" s="190"/>
      <c r="DH55" s="190"/>
      <c r="DI55" s="190"/>
      <c r="DJ55" s="190"/>
      <c r="DK55" s="190"/>
      <c r="DL55" s="190"/>
      <c r="DM55" s="190"/>
      <c r="DN55" s="190"/>
      <c r="DO55" s="190"/>
      <c r="DP55" s="190"/>
      <c r="DQ55" s="190"/>
      <c r="DR55" s="190"/>
      <c r="DS55" s="190"/>
      <c r="DT55" s="190"/>
    </row>
    <row r="56" spans="2:124" x14ac:dyDescent="0.25">
      <c r="B56" s="451" t="s">
        <v>232</v>
      </c>
      <c r="C56" s="206" t="s">
        <v>216</v>
      </c>
      <c r="E56" s="184">
        <v>1</v>
      </c>
      <c r="F56" s="184" t="s">
        <v>224</v>
      </c>
      <c r="G56" s="184">
        <v>6.74</v>
      </c>
      <c r="H56" s="184">
        <f t="shared" si="31"/>
        <v>6.74</v>
      </c>
      <c r="J56" s="184" t="s">
        <v>172</v>
      </c>
      <c r="K56" s="184" t="s">
        <v>173</v>
      </c>
      <c r="M56" s="190"/>
      <c r="N56" s="184">
        <f t="shared" si="35"/>
        <v>6.74</v>
      </c>
      <c r="O56" s="184">
        <f>$N$56</f>
        <v>6.74</v>
      </c>
      <c r="P56" s="184">
        <f t="shared" ref="P56:Y56" si="39">$N$56</f>
        <v>6.74</v>
      </c>
      <c r="Q56" s="184">
        <f t="shared" si="39"/>
        <v>6.74</v>
      </c>
      <c r="R56" s="184">
        <f t="shared" si="39"/>
        <v>6.74</v>
      </c>
      <c r="S56" s="184">
        <f t="shared" si="39"/>
        <v>6.74</v>
      </c>
      <c r="T56" s="184">
        <f t="shared" si="39"/>
        <v>6.74</v>
      </c>
      <c r="U56" s="184">
        <f t="shared" si="39"/>
        <v>6.74</v>
      </c>
      <c r="V56" s="184">
        <f t="shared" si="39"/>
        <v>6.74</v>
      </c>
      <c r="W56" s="184">
        <f t="shared" si="39"/>
        <v>6.74</v>
      </c>
      <c r="X56" s="184">
        <f t="shared" si="39"/>
        <v>6.74</v>
      </c>
      <c r="Y56" s="184">
        <f t="shared" si="39"/>
        <v>6.74</v>
      </c>
      <c r="Z56" s="190"/>
      <c r="AA56" s="190"/>
      <c r="AB56" s="184">
        <f t="shared" si="33"/>
        <v>80.88</v>
      </c>
      <c r="AC56" s="184">
        <f t="shared" si="34"/>
        <v>80.88</v>
      </c>
      <c r="AD56" s="184">
        <f t="shared" si="34"/>
        <v>80.88</v>
      </c>
      <c r="AE56" s="184">
        <f t="shared" si="34"/>
        <v>80.88</v>
      </c>
      <c r="AF56" s="184">
        <f t="shared" si="34"/>
        <v>80.88</v>
      </c>
      <c r="AG56" s="184">
        <f t="shared" si="34"/>
        <v>80.88</v>
      </c>
      <c r="AH56" s="184">
        <f t="shared" si="34"/>
        <v>80.88</v>
      </c>
      <c r="AI56" s="184">
        <f t="shared" si="34"/>
        <v>80.88</v>
      </c>
      <c r="AJ56" s="184">
        <f t="shared" si="34"/>
        <v>80.88</v>
      </c>
      <c r="AK56" s="184">
        <f t="shared" si="34"/>
        <v>80.88</v>
      </c>
      <c r="AL56" s="190"/>
      <c r="AM56" s="190"/>
      <c r="AN56" s="190"/>
      <c r="AO56" s="190"/>
      <c r="AP56" s="190"/>
      <c r="AQ56" s="190"/>
      <c r="AR56" s="190"/>
      <c r="AS56" s="190"/>
      <c r="AT56" s="190"/>
      <c r="AU56" s="190"/>
      <c r="AV56" s="190"/>
      <c r="AW56" s="190"/>
      <c r="AX56" s="190"/>
      <c r="AY56" s="190"/>
      <c r="AZ56" s="190"/>
      <c r="BA56" s="190"/>
      <c r="BB56" s="190"/>
      <c r="BC56" s="190"/>
      <c r="BD56" s="190"/>
      <c r="BE56" s="190"/>
      <c r="BF56" s="190"/>
      <c r="BG56" s="190"/>
      <c r="BH56" s="190"/>
      <c r="BI56" s="190"/>
      <c r="BJ56" s="190"/>
      <c r="BK56" s="190"/>
      <c r="BL56" s="190"/>
      <c r="BM56" s="190"/>
      <c r="BN56" s="190"/>
      <c r="BO56" s="190"/>
      <c r="BP56" s="190"/>
      <c r="BQ56" s="190"/>
      <c r="BR56" s="190"/>
      <c r="BS56" s="190"/>
      <c r="BT56" s="190"/>
      <c r="BU56" s="190"/>
      <c r="BV56" s="190"/>
      <c r="BW56" s="190"/>
      <c r="BX56" s="190"/>
      <c r="BY56" s="190"/>
      <c r="BZ56" s="190"/>
      <c r="CA56" s="190"/>
      <c r="CB56" s="190"/>
      <c r="CC56" s="190"/>
      <c r="CD56" s="190"/>
      <c r="CE56" s="190"/>
      <c r="CF56" s="190"/>
      <c r="CG56" s="190"/>
      <c r="CH56" s="190"/>
      <c r="CI56" s="190"/>
      <c r="CJ56" s="190"/>
      <c r="CK56" s="190"/>
      <c r="CL56" s="190"/>
      <c r="CM56" s="190"/>
      <c r="CN56" s="190"/>
      <c r="CO56" s="190"/>
      <c r="CP56" s="190"/>
      <c r="CQ56" s="190"/>
      <c r="CR56" s="190"/>
      <c r="CS56" s="190"/>
      <c r="CT56" s="190"/>
      <c r="CU56" s="190"/>
      <c r="CV56" s="190"/>
      <c r="CW56" s="190"/>
      <c r="CX56" s="190"/>
      <c r="CY56" s="190"/>
      <c r="CZ56" s="190"/>
      <c r="DA56" s="190"/>
      <c r="DB56" s="190"/>
      <c r="DC56" s="190"/>
      <c r="DD56" s="190"/>
      <c r="DE56" s="190"/>
      <c r="DF56" s="190"/>
      <c r="DG56" s="190"/>
      <c r="DH56" s="190"/>
      <c r="DI56" s="190"/>
      <c r="DJ56" s="190"/>
      <c r="DK56" s="190"/>
      <c r="DL56" s="190"/>
      <c r="DM56" s="190"/>
      <c r="DN56" s="190"/>
      <c r="DO56" s="190"/>
      <c r="DP56" s="190"/>
      <c r="DQ56" s="190"/>
      <c r="DR56" s="190"/>
      <c r="DS56" s="190"/>
      <c r="DT56" s="190"/>
    </row>
    <row r="57" spans="2:124" x14ac:dyDescent="0.25">
      <c r="B57" s="451" t="s">
        <v>233</v>
      </c>
      <c r="C57" s="206" t="s">
        <v>216</v>
      </c>
      <c r="E57" s="184">
        <v>3</v>
      </c>
      <c r="F57" s="184" t="s">
        <v>226</v>
      </c>
      <c r="G57" s="184">
        <v>60.55</v>
      </c>
      <c r="H57" s="184">
        <f t="shared" si="31"/>
        <v>181.64999999999998</v>
      </c>
      <c r="J57" s="184" t="s">
        <v>172</v>
      </c>
      <c r="K57" s="184" t="s">
        <v>173</v>
      </c>
      <c r="M57" s="190"/>
      <c r="N57" s="184">
        <f t="shared" si="35"/>
        <v>181.64999999999998</v>
      </c>
      <c r="O57" s="184">
        <f>$N$57</f>
        <v>181.64999999999998</v>
      </c>
      <c r="P57" s="184">
        <f t="shared" ref="P57:Y57" si="40">$N$57</f>
        <v>181.64999999999998</v>
      </c>
      <c r="Q57" s="184">
        <f t="shared" si="40"/>
        <v>181.64999999999998</v>
      </c>
      <c r="R57" s="184">
        <f t="shared" si="40"/>
        <v>181.64999999999998</v>
      </c>
      <c r="S57" s="184">
        <f t="shared" si="40"/>
        <v>181.64999999999998</v>
      </c>
      <c r="T57" s="184">
        <f t="shared" si="40"/>
        <v>181.64999999999998</v>
      </c>
      <c r="U57" s="184">
        <f t="shared" si="40"/>
        <v>181.64999999999998</v>
      </c>
      <c r="V57" s="184">
        <f t="shared" si="40"/>
        <v>181.64999999999998</v>
      </c>
      <c r="W57" s="184">
        <f t="shared" si="40"/>
        <v>181.64999999999998</v>
      </c>
      <c r="X57" s="184">
        <f t="shared" si="40"/>
        <v>181.64999999999998</v>
      </c>
      <c r="Y57" s="184">
        <f t="shared" si="40"/>
        <v>181.64999999999998</v>
      </c>
      <c r="Z57" s="190"/>
      <c r="AA57" s="190"/>
      <c r="AB57" s="184">
        <f t="shared" si="33"/>
        <v>2179.8000000000002</v>
      </c>
      <c r="AC57" s="184">
        <f t="shared" si="34"/>
        <v>2179.8000000000002</v>
      </c>
      <c r="AD57" s="184">
        <f t="shared" si="34"/>
        <v>2179.8000000000002</v>
      </c>
      <c r="AE57" s="184">
        <f t="shared" si="34"/>
        <v>2179.8000000000002</v>
      </c>
      <c r="AF57" s="184">
        <f t="shared" si="34"/>
        <v>2179.8000000000002</v>
      </c>
      <c r="AG57" s="184">
        <f t="shared" si="34"/>
        <v>2179.8000000000002</v>
      </c>
      <c r="AH57" s="184">
        <f t="shared" si="34"/>
        <v>2179.8000000000002</v>
      </c>
      <c r="AI57" s="184">
        <f t="shared" si="34"/>
        <v>2179.8000000000002</v>
      </c>
      <c r="AJ57" s="184">
        <f t="shared" si="34"/>
        <v>2179.8000000000002</v>
      </c>
      <c r="AK57" s="184">
        <f t="shared" si="34"/>
        <v>2179.8000000000002</v>
      </c>
      <c r="AL57" s="190"/>
      <c r="AM57" s="190"/>
      <c r="AN57" s="190"/>
      <c r="AO57" s="190"/>
      <c r="AP57" s="190"/>
      <c r="AQ57" s="190"/>
      <c r="AR57" s="190"/>
      <c r="AS57" s="190"/>
      <c r="AT57" s="190"/>
      <c r="AU57" s="190"/>
      <c r="AV57" s="190"/>
      <c r="AW57" s="190"/>
      <c r="AX57" s="190"/>
      <c r="AY57" s="190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</row>
    <row r="58" spans="2:124" x14ac:dyDescent="0.25">
      <c r="B58" s="451" t="s">
        <v>234</v>
      </c>
      <c r="C58" s="206" t="s">
        <v>216</v>
      </c>
      <c r="E58" s="184">
        <v>1</v>
      </c>
      <c r="F58" s="184" t="s">
        <v>217</v>
      </c>
      <c r="G58" s="184">
        <v>17.86</v>
      </c>
      <c r="H58" s="184">
        <f t="shared" si="31"/>
        <v>17.86</v>
      </c>
      <c r="J58" s="184" t="s">
        <v>172</v>
      </c>
      <c r="K58" s="184" t="s">
        <v>173</v>
      </c>
      <c r="M58" s="190"/>
      <c r="N58" s="184">
        <f t="shared" si="35"/>
        <v>17.86</v>
      </c>
      <c r="O58" s="184">
        <f>$N$58</f>
        <v>17.86</v>
      </c>
      <c r="P58" s="184">
        <f t="shared" ref="P58:Y58" si="41">$N$58</f>
        <v>17.86</v>
      </c>
      <c r="Q58" s="184">
        <f t="shared" si="41"/>
        <v>17.86</v>
      </c>
      <c r="R58" s="184">
        <f t="shared" si="41"/>
        <v>17.86</v>
      </c>
      <c r="S58" s="184">
        <f t="shared" si="41"/>
        <v>17.86</v>
      </c>
      <c r="T58" s="184">
        <f t="shared" si="41"/>
        <v>17.86</v>
      </c>
      <c r="U58" s="184">
        <f t="shared" si="41"/>
        <v>17.86</v>
      </c>
      <c r="V58" s="184">
        <f t="shared" si="41"/>
        <v>17.86</v>
      </c>
      <c r="W58" s="184">
        <f t="shared" si="41"/>
        <v>17.86</v>
      </c>
      <c r="X58" s="184">
        <f t="shared" si="41"/>
        <v>17.86</v>
      </c>
      <c r="Y58" s="184">
        <f t="shared" si="41"/>
        <v>17.86</v>
      </c>
      <c r="Z58" s="190"/>
      <c r="AA58" s="190"/>
      <c r="AB58" s="184">
        <f t="shared" si="33"/>
        <v>214.32000000000005</v>
      </c>
      <c r="AC58" s="184">
        <f t="shared" si="34"/>
        <v>214.32000000000005</v>
      </c>
      <c r="AD58" s="184">
        <f t="shared" si="34"/>
        <v>214.32000000000005</v>
      </c>
      <c r="AE58" s="184">
        <f t="shared" si="34"/>
        <v>214.32000000000005</v>
      </c>
      <c r="AF58" s="184">
        <f t="shared" si="34"/>
        <v>214.32000000000005</v>
      </c>
      <c r="AG58" s="184">
        <f t="shared" si="34"/>
        <v>214.32000000000005</v>
      </c>
      <c r="AH58" s="184">
        <f t="shared" si="34"/>
        <v>214.32000000000005</v>
      </c>
      <c r="AI58" s="184">
        <f t="shared" si="34"/>
        <v>214.32000000000005</v>
      </c>
      <c r="AJ58" s="184">
        <f t="shared" si="34"/>
        <v>214.32000000000005</v>
      </c>
      <c r="AK58" s="184">
        <f t="shared" si="34"/>
        <v>214.32000000000005</v>
      </c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190"/>
      <c r="BV58" s="190"/>
      <c r="BW58" s="190"/>
      <c r="BX58" s="190"/>
      <c r="BY58" s="190"/>
      <c r="BZ58" s="190"/>
      <c r="CA58" s="190"/>
      <c r="CB58" s="190"/>
      <c r="CC58" s="190"/>
      <c r="CD58" s="190"/>
      <c r="CE58" s="190"/>
      <c r="CF58" s="190"/>
      <c r="CG58" s="190"/>
      <c r="CH58" s="190"/>
      <c r="CI58" s="190"/>
      <c r="CJ58" s="190"/>
      <c r="CK58" s="190"/>
      <c r="CL58" s="190"/>
      <c r="CM58" s="190"/>
      <c r="CN58" s="190"/>
      <c r="CO58" s="190"/>
      <c r="CP58" s="190"/>
      <c r="CQ58" s="190"/>
      <c r="CR58" s="190"/>
      <c r="CS58" s="190"/>
      <c r="CT58" s="190"/>
      <c r="CU58" s="190"/>
      <c r="CV58" s="190"/>
      <c r="CW58" s="190"/>
      <c r="CX58" s="190"/>
      <c r="CY58" s="190"/>
      <c r="CZ58" s="190"/>
      <c r="DA58" s="190"/>
      <c r="DB58" s="190"/>
      <c r="DC58" s="190"/>
      <c r="DD58" s="190"/>
      <c r="DE58" s="190"/>
      <c r="DF58" s="190"/>
      <c r="DG58" s="190"/>
      <c r="DH58" s="190"/>
      <c r="DI58" s="190"/>
      <c r="DJ58" s="190"/>
      <c r="DK58" s="190"/>
      <c r="DL58" s="190"/>
      <c r="DM58" s="190"/>
      <c r="DN58" s="190"/>
      <c r="DO58" s="190"/>
      <c r="DP58" s="190"/>
      <c r="DQ58" s="190"/>
      <c r="DR58" s="190"/>
      <c r="DS58" s="190"/>
      <c r="DT58" s="190"/>
    </row>
    <row r="59" spans="2:124" x14ac:dyDescent="0.25">
      <c r="B59" s="451" t="s">
        <v>235</v>
      </c>
      <c r="C59" s="206" t="s">
        <v>216</v>
      </c>
      <c r="E59" s="184">
        <v>1</v>
      </c>
      <c r="F59" s="184" t="s">
        <v>226</v>
      </c>
      <c r="G59" s="184">
        <v>13.5</v>
      </c>
      <c r="H59" s="184">
        <f t="shared" si="31"/>
        <v>13.5</v>
      </c>
      <c r="J59" s="184" t="s">
        <v>172</v>
      </c>
      <c r="K59" s="184" t="s">
        <v>203</v>
      </c>
      <c r="M59" s="190"/>
      <c r="N59" s="184">
        <f t="shared" si="35"/>
        <v>13.5</v>
      </c>
      <c r="O59" s="184"/>
      <c r="P59" s="184"/>
      <c r="Q59" s="184"/>
      <c r="R59" s="184"/>
      <c r="S59" s="184"/>
      <c r="T59" s="184">
        <f>$N$59</f>
        <v>13.5</v>
      </c>
      <c r="U59" s="184"/>
      <c r="V59" s="184"/>
      <c r="W59" s="184"/>
      <c r="X59" s="184"/>
      <c r="Y59" s="184"/>
      <c r="Z59" s="190"/>
      <c r="AA59" s="190"/>
      <c r="AB59" s="184">
        <f t="shared" si="33"/>
        <v>27</v>
      </c>
      <c r="AC59" s="184">
        <f t="shared" si="34"/>
        <v>27</v>
      </c>
      <c r="AD59" s="184">
        <f t="shared" si="34"/>
        <v>27</v>
      </c>
      <c r="AE59" s="184">
        <f t="shared" si="34"/>
        <v>27</v>
      </c>
      <c r="AF59" s="184">
        <f t="shared" si="34"/>
        <v>27</v>
      </c>
      <c r="AG59" s="184">
        <f t="shared" si="34"/>
        <v>27</v>
      </c>
      <c r="AH59" s="184">
        <f t="shared" si="34"/>
        <v>27</v>
      </c>
      <c r="AI59" s="184">
        <f t="shared" si="34"/>
        <v>27</v>
      </c>
      <c r="AJ59" s="184">
        <f t="shared" si="34"/>
        <v>27</v>
      </c>
      <c r="AK59" s="184">
        <f t="shared" si="34"/>
        <v>27</v>
      </c>
      <c r="AL59" s="190"/>
      <c r="AM59" s="190"/>
      <c r="AN59" s="190"/>
      <c r="AO59" s="190"/>
      <c r="AP59" s="190"/>
      <c r="AQ59" s="190"/>
      <c r="AR59" s="190"/>
      <c r="AS59" s="190"/>
      <c r="AT59" s="190"/>
      <c r="AU59" s="190"/>
      <c r="AV59" s="190"/>
      <c r="AW59" s="190"/>
      <c r="AX59" s="190"/>
      <c r="AY59" s="190"/>
      <c r="AZ59" s="190"/>
      <c r="BA59" s="190"/>
      <c r="BB59" s="190"/>
      <c r="BC59" s="190"/>
      <c r="BD59" s="190"/>
      <c r="BE59" s="190"/>
      <c r="BF59" s="190"/>
      <c r="BG59" s="190"/>
      <c r="BH59" s="190"/>
      <c r="BI59" s="190"/>
      <c r="BJ59" s="190"/>
      <c r="BK59" s="190"/>
      <c r="BL59" s="190"/>
      <c r="BM59" s="190"/>
      <c r="BN59" s="190"/>
      <c r="BO59" s="190"/>
      <c r="BP59" s="190"/>
      <c r="BQ59" s="190"/>
      <c r="BR59" s="190"/>
      <c r="BS59" s="190"/>
      <c r="BT59" s="190"/>
      <c r="BU59" s="190"/>
      <c r="BV59" s="190"/>
      <c r="BW59" s="190"/>
      <c r="BX59" s="190"/>
      <c r="BY59" s="190"/>
      <c r="BZ59" s="190"/>
      <c r="CA59" s="190"/>
      <c r="CB59" s="190"/>
      <c r="CC59" s="190"/>
      <c r="CD59" s="190"/>
      <c r="CE59" s="190"/>
      <c r="CF59" s="190"/>
      <c r="CG59" s="190"/>
      <c r="CH59" s="190"/>
      <c r="CI59" s="190"/>
      <c r="CJ59" s="190"/>
      <c r="CK59" s="190"/>
      <c r="CL59" s="190"/>
      <c r="CM59" s="190"/>
      <c r="CN59" s="190"/>
      <c r="CO59" s="190"/>
      <c r="CP59" s="190"/>
      <c r="CQ59" s="190"/>
      <c r="CR59" s="190"/>
      <c r="CS59" s="190"/>
      <c r="CT59" s="190"/>
      <c r="CU59" s="190"/>
      <c r="CV59" s="190"/>
      <c r="CW59" s="190"/>
      <c r="CX59" s="190"/>
      <c r="CY59" s="190"/>
      <c r="CZ59" s="190"/>
      <c r="DA59" s="190"/>
      <c r="DB59" s="190"/>
      <c r="DC59" s="190"/>
      <c r="DD59" s="190"/>
      <c r="DE59" s="190"/>
      <c r="DF59" s="190"/>
      <c r="DG59" s="190"/>
      <c r="DH59" s="190"/>
      <c r="DI59" s="190"/>
      <c r="DJ59" s="190"/>
      <c r="DK59" s="190"/>
      <c r="DL59" s="190"/>
      <c r="DM59" s="190"/>
      <c r="DN59" s="190"/>
      <c r="DO59" s="190"/>
      <c r="DP59" s="190"/>
      <c r="DQ59" s="190"/>
      <c r="DR59" s="190"/>
      <c r="DS59" s="190"/>
      <c r="DT59" s="190"/>
    </row>
    <row r="60" spans="2:124" x14ac:dyDescent="0.25">
      <c r="B60" s="451" t="s">
        <v>236</v>
      </c>
      <c r="C60" s="206" t="s">
        <v>216</v>
      </c>
      <c r="E60" s="184">
        <v>2</v>
      </c>
      <c r="F60" s="184" t="s">
        <v>226</v>
      </c>
      <c r="G60" s="184">
        <v>21.71</v>
      </c>
      <c r="H60" s="184">
        <f t="shared" si="31"/>
        <v>43.42</v>
      </c>
      <c r="J60" s="184" t="s">
        <v>172</v>
      </c>
      <c r="K60" s="184" t="s">
        <v>196</v>
      </c>
      <c r="M60" s="190"/>
      <c r="N60" s="184">
        <f t="shared" si="35"/>
        <v>43.42</v>
      </c>
      <c r="O60" s="184"/>
      <c r="P60" s="184"/>
      <c r="Q60" s="184"/>
      <c r="R60" s="184"/>
      <c r="S60" s="184"/>
      <c r="T60" s="184"/>
      <c r="U60" s="184"/>
      <c r="V60" s="184"/>
      <c r="W60" s="184"/>
      <c r="X60" s="184"/>
      <c r="Y60" s="184"/>
      <c r="Z60" s="190"/>
      <c r="AA60" s="190"/>
      <c r="AB60" s="184">
        <f t="shared" si="33"/>
        <v>43.42</v>
      </c>
      <c r="AC60" s="184">
        <f t="shared" si="34"/>
        <v>43.42</v>
      </c>
      <c r="AD60" s="184">
        <f t="shared" si="34"/>
        <v>43.42</v>
      </c>
      <c r="AE60" s="184">
        <f t="shared" si="34"/>
        <v>43.42</v>
      </c>
      <c r="AF60" s="184">
        <f t="shared" si="34"/>
        <v>43.42</v>
      </c>
      <c r="AG60" s="184">
        <f t="shared" si="34"/>
        <v>43.42</v>
      </c>
      <c r="AH60" s="184">
        <f t="shared" si="34"/>
        <v>43.42</v>
      </c>
      <c r="AI60" s="184">
        <f t="shared" si="34"/>
        <v>43.42</v>
      </c>
      <c r="AJ60" s="184">
        <f t="shared" si="34"/>
        <v>43.42</v>
      </c>
      <c r="AK60" s="184">
        <f t="shared" si="34"/>
        <v>43.42</v>
      </c>
      <c r="AL60" s="190"/>
      <c r="AM60" s="190"/>
      <c r="AN60" s="190"/>
      <c r="AO60" s="190"/>
      <c r="AP60" s="190"/>
      <c r="AQ60" s="190"/>
      <c r="AR60" s="190"/>
      <c r="AS60" s="190"/>
      <c r="AT60" s="190"/>
      <c r="AU60" s="190"/>
      <c r="AV60" s="190"/>
      <c r="AW60" s="190"/>
      <c r="AX60" s="190"/>
      <c r="AY60" s="190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0"/>
      <c r="BK60" s="190"/>
      <c r="BL60" s="190"/>
      <c r="BM60" s="190"/>
      <c r="BN60" s="190"/>
      <c r="BO60" s="190"/>
      <c r="BP60" s="190"/>
      <c r="BQ60" s="190"/>
      <c r="BR60" s="190"/>
      <c r="BS60" s="190"/>
      <c r="BT60" s="190"/>
      <c r="BU60" s="190"/>
      <c r="BV60" s="190"/>
      <c r="BW60" s="190"/>
      <c r="BX60" s="190"/>
      <c r="BY60" s="190"/>
      <c r="BZ60" s="190"/>
      <c r="CA60" s="190"/>
      <c r="CB60" s="190"/>
      <c r="CC60" s="190"/>
      <c r="CD60" s="190"/>
      <c r="CE60" s="190"/>
      <c r="CF60" s="190"/>
      <c r="CG60" s="190"/>
      <c r="CH60" s="190"/>
      <c r="CI60" s="190"/>
      <c r="CJ60" s="190"/>
      <c r="CK60" s="190"/>
      <c r="CL60" s="190"/>
      <c r="CM60" s="190"/>
      <c r="CN60" s="190"/>
      <c r="CO60" s="190"/>
      <c r="CP60" s="190"/>
      <c r="CQ60" s="190"/>
      <c r="CR60" s="190"/>
      <c r="CS60" s="190"/>
      <c r="CT60" s="190"/>
      <c r="CU60" s="190"/>
      <c r="CV60" s="190"/>
      <c r="CW60" s="190"/>
      <c r="CX60" s="190"/>
      <c r="CY60" s="190"/>
      <c r="CZ60" s="190"/>
      <c r="DA60" s="190"/>
      <c r="DB60" s="190"/>
      <c r="DC60" s="190"/>
      <c r="DD60" s="190"/>
      <c r="DE60" s="190"/>
      <c r="DF60" s="190"/>
      <c r="DG60" s="190"/>
      <c r="DH60" s="190"/>
      <c r="DI60" s="190"/>
      <c r="DJ60" s="190"/>
      <c r="DK60" s="190"/>
      <c r="DL60" s="190"/>
      <c r="DM60" s="190"/>
      <c r="DN60" s="190"/>
      <c r="DO60" s="190"/>
      <c r="DP60" s="190"/>
      <c r="DQ60" s="190"/>
      <c r="DR60" s="190"/>
      <c r="DS60" s="190"/>
      <c r="DT60" s="190"/>
    </row>
    <row r="61" spans="2:124" x14ac:dyDescent="0.25">
      <c r="B61" s="451" t="s">
        <v>237</v>
      </c>
      <c r="C61" s="206" t="s">
        <v>216</v>
      </c>
      <c r="E61" s="184">
        <v>2</v>
      </c>
      <c r="F61" s="184" t="s">
        <v>226</v>
      </c>
      <c r="G61" s="184">
        <v>8.4635999999999996</v>
      </c>
      <c r="H61" s="184">
        <f t="shared" si="31"/>
        <v>16.927199999999999</v>
      </c>
      <c r="J61" s="184" t="s">
        <v>172</v>
      </c>
      <c r="K61" s="184" t="s">
        <v>203</v>
      </c>
      <c r="M61" s="190"/>
      <c r="N61" s="184">
        <f t="shared" si="35"/>
        <v>16.927199999999999</v>
      </c>
      <c r="O61" s="184"/>
      <c r="P61" s="184"/>
      <c r="Q61" s="184"/>
      <c r="R61" s="184"/>
      <c r="S61" s="184"/>
      <c r="T61" s="184">
        <f>N61</f>
        <v>16.927199999999999</v>
      </c>
      <c r="U61" s="184"/>
      <c r="V61" s="184"/>
      <c r="W61" s="184"/>
      <c r="X61" s="184"/>
      <c r="Y61" s="184"/>
      <c r="Z61" s="190"/>
      <c r="AA61" s="190"/>
      <c r="AB61" s="184">
        <f t="shared" si="33"/>
        <v>33.854399999999998</v>
      </c>
      <c r="AC61" s="184">
        <f t="shared" si="34"/>
        <v>33.854399999999998</v>
      </c>
      <c r="AD61" s="184">
        <f t="shared" si="34"/>
        <v>33.854399999999998</v>
      </c>
      <c r="AE61" s="184">
        <f t="shared" si="34"/>
        <v>33.854399999999998</v>
      </c>
      <c r="AF61" s="184">
        <f t="shared" si="34"/>
        <v>33.854399999999998</v>
      </c>
      <c r="AG61" s="184">
        <f t="shared" si="34"/>
        <v>33.854399999999998</v>
      </c>
      <c r="AH61" s="184">
        <f t="shared" si="34"/>
        <v>33.854399999999998</v>
      </c>
      <c r="AI61" s="184">
        <f t="shared" si="34"/>
        <v>33.854399999999998</v>
      </c>
      <c r="AJ61" s="184">
        <f t="shared" si="34"/>
        <v>33.854399999999998</v>
      </c>
      <c r="AK61" s="184">
        <f t="shared" si="34"/>
        <v>33.854399999999998</v>
      </c>
      <c r="AL61" s="190"/>
      <c r="AM61" s="190"/>
      <c r="AN61" s="190"/>
      <c r="AO61" s="190"/>
      <c r="AP61" s="190"/>
      <c r="AQ61" s="190"/>
      <c r="AR61" s="190"/>
      <c r="AS61" s="190"/>
      <c r="AT61" s="190"/>
      <c r="AU61" s="190"/>
      <c r="AV61" s="190"/>
      <c r="AW61" s="190"/>
      <c r="AX61" s="190"/>
      <c r="AY61" s="190"/>
      <c r="AZ61" s="190"/>
      <c r="BA61" s="190"/>
      <c r="BB61" s="190"/>
      <c r="BC61" s="190"/>
      <c r="BD61" s="190"/>
      <c r="BE61" s="190"/>
      <c r="BF61" s="190"/>
      <c r="BG61" s="190"/>
      <c r="BH61" s="190"/>
      <c r="BI61" s="190"/>
      <c r="BJ61" s="190"/>
      <c r="BK61" s="190"/>
      <c r="BL61" s="190"/>
      <c r="BM61" s="190"/>
      <c r="BN61" s="190"/>
      <c r="BO61" s="190"/>
      <c r="BP61" s="190"/>
      <c r="BQ61" s="190"/>
      <c r="BR61" s="190"/>
      <c r="BS61" s="190"/>
      <c r="BT61" s="190"/>
      <c r="BU61" s="190"/>
      <c r="BV61" s="190"/>
      <c r="BW61" s="190"/>
      <c r="BX61" s="190"/>
      <c r="BY61" s="190"/>
      <c r="BZ61" s="190"/>
      <c r="CA61" s="190"/>
      <c r="CB61" s="190"/>
      <c r="CC61" s="190"/>
      <c r="CD61" s="190"/>
      <c r="CE61" s="190"/>
      <c r="CF61" s="190"/>
      <c r="CG61" s="190"/>
      <c r="CH61" s="190"/>
      <c r="CI61" s="190"/>
      <c r="CJ61" s="190"/>
      <c r="CK61" s="190"/>
      <c r="CL61" s="190"/>
      <c r="CM61" s="190"/>
      <c r="CN61" s="190"/>
      <c r="CO61" s="190"/>
      <c r="CP61" s="190"/>
      <c r="CQ61" s="190"/>
      <c r="CR61" s="190"/>
      <c r="CS61" s="190"/>
      <c r="CT61" s="190"/>
      <c r="CU61" s="190"/>
      <c r="CV61" s="190"/>
      <c r="CW61" s="190"/>
      <c r="CX61" s="190"/>
      <c r="CY61" s="190"/>
      <c r="CZ61" s="190"/>
      <c r="DA61" s="190"/>
      <c r="DB61" s="190"/>
      <c r="DC61" s="190"/>
      <c r="DD61" s="190"/>
      <c r="DE61" s="190"/>
      <c r="DF61" s="190"/>
      <c r="DG61" s="190"/>
      <c r="DH61" s="190"/>
      <c r="DI61" s="190"/>
      <c r="DJ61" s="190"/>
      <c r="DK61" s="190"/>
      <c r="DL61" s="190"/>
      <c r="DM61" s="190"/>
      <c r="DN61" s="190"/>
      <c r="DO61" s="190"/>
      <c r="DP61" s="190"/>
      <c r="DQ61" s="190"/>
      <c r="DR61" s="190"/>
      <c r="DS61" s="190"/>
      <c r="DT61" s="190"/>
    </row>
    <row r="62" spans="2:124" x14ac:dyDescent="0.25">
      <c r="B62" s="451" t="s">
        <v>238</v>
      </c>
      <c r="C62" s="206" t="s">
        <v>216</v>
      </c>
      <c r="E62" s="184">
        <v>6</v>
      </c>
      <c r="F62" s="184" t="s">
        <v>226</v>
      </c>
      <c r="G62" s="184">
        <v>42.31</v>
      </c>
      <c r="H62" s="184">
        <f t="shared" si="31"/>
        <v>253.86</v>
      </c>
      <c r="J62" s="184" t="s">
        <v>172</v>
      </c>
      <c r="K62" s="184" t="s">
        <v>239</v>
      </c>
      <c r="M62" s="190"/>
      <c r="N62" s="184">
        <f t="shared" si="35"/>
        <v>253.86</v>
      </c>
      <c r="O62" s="184"/>
      <c r="P62" s="184"/>
      <c r="Q62" s="184"/>
      <c r="R62" s="184"/>
      <c r="S62" s="184"/>
      <c r="T62" s="184"/>
      <c r="U62" s="184"/>
      <c r="V62" s="184"/>
      <c r="W62" s="184"/>
      <c r="X62" s="184"/>
      <c r="Y62" s="184"/>
      <c r="Z62" s="190"/>
      <c r="AA62" s="190"/>
      <c r="AB62" s="184">
        <f t="shared" si="33"/>
        <v>253.86</v>
      </c>
      <c r="AC62" s="184">
        <f t="shared" si="34"/>
        <v>253.86</v>
      </c>
      <c r="AD62" s="184">
        <f t="shared" si="34"/>
        <v>253.86</v>
      </c>
      <c r="AE62" s="184">
        <f t="shared" si="34"/>
        <v>253.86</v>
      </c>
      <c r="AF62" s="184">
        <f t="shared" si="34"/>
        <v>253.86</v>
      </c>
      <c r="AG62" s="184">
        <f t="shared" si="34"/>
        <v>253.86</v>
      </c>
      <c r="AH62" s="184">
        <f t="shared" si="34"/>
        <v>253.86</v>
      </c>
      <c r="AI62" s="184">
        <f t="shared" si="34"/>
        <v>253.86</v>
      </c>
      <c r="AJ62" s="184">
        <f t="shared" si="34"/>
        <v>253.86</v>
      </c>
      <c r="AK62" s="184">
        <f t="shared" si="34"/>
        <v>253.86</v>
      </c>
      <c r="AL62" s="190"/>
      <c r="AM62" s="190"/>
      <c r="AN62" s="190"/>
      <c r="AO62" s="190"/>
      <c r="AP62" s="190"/>
      <c r="AQ62" s="190"/>
      <c r="AR62" s="190"/>
      <c r="AS62" s="190"/>
      <c r="AT62" s="190"/>
      <c r="AU62" s="190"/>
      <c r="AV62" s="190"/>
      <c r="AW62" s="190"/>
      <c r="AX62" s="190"/>
      <c r="AY62" s="190"/>
      <c r="AZ62" s="190"/>
      <c r="BA62" s="190"/>
      <c r="BB62" s="190"/>
      <c r="BC62" s="190"/>
      <c r="BD62" s="190"/>
      <c r="BE62" s="190"/>
      <c r="BF62" s="190"/>
      <c r="BG62" s="190"/>
      <c r="BH62" s="190"/>
      <c r="BI62" s="190"/>
      <c r="BJ62" s="190"/>
      <c r="BK62" s="190"/>
      <c r="BL62" s="190"/>
      <c r="BM62" s="190"/>
      <c r="BN62" s="190"/>
      <c r="BO62" s="190"/>
      <c r="BP62" s="190"/>
      <c r="BQ62" s="190"/>
      <c r="BR62" s="190"/>
      <c r="BS62" s="190"/>
      <c r="BT62" s="190"/>
      <c r="BU62" s="190"/>
      <c r="BV62" s="190"/>
      <c r="BW62" s="190"/>
      <c r="BX62" s="190"/>
      <c r="BY62" s="190"/>
      <c r="BZ62" s="190"/>
      <c r="CA62" s="190"/>
      <c r="CB62" s="190"/>
      <c r="CC62" s="190"/>
      <c r="CD62" s="190"/>
      <c r="CE62" s="190"/>
      <c r="CF62" s="190"/>
      <c r="CG62" s="190"/>
      <c r="CH62" s="190"/>
      <c r="CI62" s="190"/>
      <c r="CJ62" s="190"/>
      <c r="CK62" s="190"/>
      <c r="CL62" s="190"/>
      <c r="CM62" s="190"/>
      <c r="CN62" s="190"/>
      <c r="CO62" s="190"/>
      <c r="CP62" s="190"/>
      <c r="CQ62" s="190"/>
      <c r="CR62" s="190"/>
      <c r="CS62" s="190"/>
      <c r="CT62" s="190"/>
      <c r="CU62" s="190"/>
      <c r="CV62" s="190"/>
      <c r="CW62" s="190"/>
      <c r="CX62" s="190"/>
      <c r="CY62" s="190"/>
      <c r="CZ62" s="190"/>
      <c r="DA62" s="190"/>
      <c r="DB62" s="190"/>
      <c r="DC62" s="190"/>
      <c r="DD62" s="190"/>
      <c r="DE62" s="190"/>
      <c r="DF62" s="190"/>
      <c r="DG62" s="190"/>
      <c r="DH62" s="190"/>
      <c r="DI62" s="190"/>
      <c r="DJ62" s="190"/>
      <c r="DK62" s="190"/>
      <c r="DL62" s="190"/>
      <c r="DM62" s="190"/>
      <c r="DN62" s="190"/>
      <c r="DO62" s="190"/>
      <c r="DP62" s="190"/>
      <c r="DQ62" s="190"/>
      <c r="DR62" s="190"/>
      <c r="DS62" s="190"/>
      <c r="DT62" s="190"/>
    </row>
    <row r="63" spans="2:124" x14ac:dyDescent="0.25">
      <c r="B63" s="451" t="s">
        <v>240</v>
      </c>
      <c r="C63" s="206" t="s">
        <v>216</v>
      </c>
      <c r="E63" s="184">
        <v>1</v>
      </c>
      <c r="F63" s="184" t="s">
        <v>226</v>
      </c>
      <c r="G63" s="184">
        <v>35</v>
      </c>
      <c r="H63" s="184">
        <f t="shared" si="31"/>
        <v>35</v>
      </c>
      <c r="J63" s="184" t="s">
        <v>172</v>
      </c>
      <c r="K63" s="184" t="s">
        <v>196</v>
      </c>
      <c r="M63" s="190"/>
      <c r="N63" s="184">
        <f t="shared" si="35"/>
        <v>35</v>
      </c>
      <c r="O63" s="184"/>
      <c r="P63" s="184"/>
      <c r="Q63" s="184"/>
      <c r="R63" s="184"/>
      <c r="S63" s="184"/>
      <c r="T63" s="184"/>
      <c r="U63" s="184"/>
      <c r="V63" s="184"/>
      <c r="W63" s="184"/>
      <c r="X63" s="184"/>
      <c r="Y63" s="184"/>
      <c r="Z63" s="190"/>
      <c r="AA63" s="190"/>
      <c r="AB63" s="184">
        <f t="shared" si="33"/>
        <v>35</v>
      </c>
      <c r="AC63" s="184">
        <f t="shared" si="34"/>
        <v>35</v>
      </c>
      <c r="AD63" s="184">
        <f t="shared" si="34"/>
        <v>35</v>
      </c>
      <c r="AE63" s="184">
        <f t="shared" si="34"/>
        <v>35</v>
      </c>
      <c r="AF63" s="184">
        <f t="shared" si="34"/>
        <v>35</v>
      </c>
      <c r="AG63" s="184">
        <f t="shared" si="34"/>
        <v>35</v>
      </c>
      <c r="AH63" s="184">
        <f t="shared" si="34"/>
        <v>35</v>
      </c>
      <c r="AI63" s="184">
        <f t="shared" si="34"/>
        <v>35</v>
      </c>
      <c r="AJ63" s="184">
        <f t="shared" si="34"/>
        <v>35</v>
      </c>
      <c r="AK63" s="184">
        <f t="shared" si="34"/>
        <v>35</v>
      </c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0"/>
      <c r="BR63" s="190"/>
      <c r="BS63" s="190"/>
      <c r="BT63" s="190"/>
      <c r="BU63" s="190"/>
      <c r="BV63" s="190"/>
      <c r="BW63" s="190"/>
      <c r="BX63" s="190"/>
      <c r="BY63" s="190"/>
      <c r="BZ63" s="190"/>
      <c r="CA63" s="190"/>
      <c r="CB63" s="190"/>
      <c r="CC63" s="190"/>
      <c r="CD63" s="190"/>
      <c r="CE63" s="190"/>
      <c r="CF63" s="190"/>
      <c r="CG63" s="190"/>
      <c r="CH63" s="190"/>
      <c r="CI63" s="190"/>
      <c r="CJ63" s="190"/>
      <c r="CK63" s="190"/>
      <c r="CL63" s="190"/>
      <c r="CM63" s="190"/>
      <c r="CN63" s="190"/>
      <c r="CO63" s="190"/>
      <c r="CP63" s="190"/>
      <c r="CQ63" s="190"/>
      <c r="CR63" s="190"/>
      <c r="CS63" s="190"/>
      <c r="CT63" s="190"/>
      <c r="CU63" s="190"/>
      <c r="CV63" s="190"/>
      <c r="CW63" s="190"/>
      <c r="CX63" s="190"/>
      <c r="CY63" s="190"/>
      <c r="CZ63" s="190"/>
      <c r="DA63" s="190"/>
      <c r="DB63" s="190"/>
      <c r="DC63" s="190"/>
      <c r="DD63" s="190"/>
      <c r="DE63" s="190"/>
      <c r="DF63" s="190"/>
      <c r="DG63" s="190"/>
      <c r="DH63" s="190"/>
      <c r="DI63" s="190"/>
      <c r="DJ63" s="190"/>
      <c r="DK63" s="190"/>
      <c r="DL63" s="190"/>
      <c r="DM63" s="190"/>
      <c r="DN63" s="190"/>
      <c r="DO63" s="190"/>
      <c r="DP63" s="190"/>
      <c r="DQ63" s="190"/>
      <c r="DR63" s="190"/>
      <c r="DS63" s="190"/>
      <c r="DT63" s="190"/>
    </row>
    <row r="64" spans="2:124" x14ac:dyDescent="0.25">
      <c r="B64" s="451" t="s">
        <v>241</v>
      </c>
      <c r="C64" s="206" t="s">
        <v>216</v>
      </c>
      <c r="E64" s="184">
        <v>1</v>
      </c>
      <c r="F64" s="184" t="s">
        <v>226</v>
      </c>
      <c r="G64" s="184">
        <v>2.1</v>
      </c>
      <c r="H64" s="184">
        <f t="shared" si="31"/>
        <v>2.1</v>
      </c>
      <c r="J64" s="184" t="s">
        <v>172</v>
      </c>
      <c r="K64" s="184" t="s">
        <v>203</v>
      </c>
      <c r="M64" s="190"/>
      <c r="N64" s="184">
        <f t="shared" si="35"/>
        <v>2.1</v>
      </c>
      <c r="O64" s="184"/>
      <c r="P64" s="184"/>
      <c r="Q64" s="184"/>
      <c r="R64" s="184"/>
      <c r="S64" s="184"/>
      <c r="T64" s="184">
        <f>N64</f>
        <v>2.1</v>
      </c>
      <c r="U64" s="184"/>
      <c r="V64" s="184"/>
      <c r="W64" s="184"/>
      <c r="X64" s="184"/>
      <c r="Y64" s="184"/>
      <c r="Z64" s="190"/>
      <c r="AA64" s="190"/>
      <c r="AB64" s="184">
        <f t="shared" si="33"/>
        <v>4.2</v>
      </c>
      <c r="AC64" s="184">
        <f t="shared" si="34"/>
        <v>4.2</v>
      </c>
      <c r="AD64" s="184">
        <f t="shared" si="34"/>
        <v>4.2</v>
      </c>
      <c r="AE64" s="184">
        <f t="shared" si="34"/>
        <v>4.2</v>
      </c>
      <c r="AF64" s="184">
        <f t="shared" si="34"/>
        <v>4.2</v>
      </c>
      <c r="AG64" s="184">
        <f t="shared" si="34"/>
        <v>4.2</v>
      </c>
      <c r="AH64" s="184">
        <f t="shared" si="34"/>
        <v>4.2</v>
      </c>
      <c r="AI64" s="184">
        <f t="shared" si="34"/>
        <v>4.2</v>
      </c>
      <c r="AJ64" s="184">
        <f t="shared" si="34"/>
        <v>4.2</v>
      </c>
      <c r="AK64" s="184">
        <f t="shared" si="34"/>
        <v>4.2</v>
      </c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190"/>
      <c r="BV64" s="190"/>
      <c r="BW64" s="190"/>
      <c r="BX64" s="190"/>
      <c r="BY64" s="190"/>
      <c r="BZ64" s="190"/>
      <c r="CA64" s="190"/>
      <c r="CB64" s="190"/>
      <c r="CC64" s="190"/>
      <c r="CD64" s="190"/>
      <c r="CE64" s="190"/>
      <c r="CF64" s="190"/>
      <c r="CG64" s="190"/>
      <c r="CH64" s="190"/>
      <c r="CI64" s="190"/>
      <c r="CJ64" s="190"/>
      <c r="CK64" s="190"/>
      <c r="CL64" s="190"/>
      <c r="CM64" s="190"/>
      <c r="CN64" s="190"/>
      <c r="CO64" s="190"/>
      <c r="CP64" s="190"/>
      <c r="CQ64" s="190"/>
      <c r="CR64" s="190"/>
      <c r="CS64" s="190"/>
      <c r="CT64" s="190"/>
      <c r="CU64" s="190"/>
      <c r="CV64" s="190"/>
      <c r="CW64" s="190"/>
      <c r="CX64" s="190"/>
      <c r="CY64" s="190"/>
      <c r="CZ64" s="190"/>
      <c r="DA64" s="190"/>
      <c r="DB64" s="190"/>
      <c r="DC64" s="190"/>
      <c r="DD64" s="190"/>
      <c r="DE64" s="190"/>
      <c r="DF64" s="190"/>
      <c r="DG64" s="190"/>
      <c r="DH64" s="190"/>
      <c r="DI64" s="190"/>
      <c r="DJ64" s="190"/>
      <c r="DK64" s="190"/>
      <c r="DL64" s="190"/>
      <c r="DM64" s="190"/>
      <c r="DN64" s="190"/>
      <c r="DO64" s="190"/>
      <c r="DP64" s="190"/>
      <c r="DQ64" s="190"/>
      <c r="DR64" s="190"/>
      <c r="DS64" s="190"/>
      <c r="DT64" s="190"/>
    </row>
    <row r="65" spans="1:126" x14ac:dyDescent="0.25">
      <c r="M65" s="12" t="s">
        <v>114</v>
      </c>
      <c r="N65" s="12">
        <f>SUM(N47:N64)</f>
        <v>1338.7451999999998</v>
      </c>
      <c r="O65" s="12">
        <f t="shared" ref="O65:Y65" si="42">SUM(O47:O64)</f>
        <v>876.73</v>
      </c>
      <c r="P65" s="12">
        <f t="shared" si="42"/>
        <v>876.73</v>
      </c>
      <c r="Q65" s="12">
        <f t="shared" si="42"/>
        <v>890.79</v>
      </c>
      <c r="R65" s="12">
        <f t="shared" si="42"/>
        <v>876.73</v>
      </c>
      <c r="S65" s="12">
        <f t="shared" si="42"/>
        <v>876.73</v>
      </c>
      <c r="T65" s="12">
        <f t="shared" si="42"/>
        <v>923.31719999999996</v>
      </c>
      <c r="U65" s="12">
        <f t="shared" si="42"/>
        <v>876.73</v>
      </c>
      <c r="V65" s="12">
        <f t="shared" si="42"/>
        <v>876.73</v>
      </c>
      <c r="W65" s="12">
        <f t="shared" si="42"/>
        <v>890.79</v>
      </c>
      <c r="X65" s="12">
        <f t="shared" si="42"/>
        <v>876.73</v>
      </c>
      <c r="Y65" s="12">
        <f t="shared" si="42"/>
        <v>876.73</v>
      </c>
      <c r="Z65" s="12">
        <f>SUM(N65:Y65)</f>
        <v>11057.482399999997</v>
      </c>
      <c r="AA65" s="190"/>
      <c r="AB65" s="12">
        <f t="shared" si="33"/>
        <v>11057.482399999997</v>
      </c>
      <c r="AC65" s="12">
        <f t="shared" si="34"/>
        <v>11057.482399999997</v>
      </c>
      <c r="AD65" s="12">
        <f t="shared" si="34"/>
        <v>11057.482399999997</v>
      </c>
      <c r="AE65" s="12">
        <f t="shared" si="34"/>
        <v>11057.482399999997</v>
      </c>
      <c r="AF65" s="12">
        <f t="shared" si="34"/>
        <v>11057.482399999997</v>
      </c>
      <c r="AG65" s="12">
        <f t="shared" si="34"/>
        <v>11057.482399999997</v>
      </c>
      <c r="AH65" s="12">
        <f t="shared" si="34"/>
        <v>11057.482399999997</v>
      </c>
      <c r="AI65" s="12">
        <f t="shared" si="34"/>
        <v>11057.482399999997</v>
      </c>
      <c r="AJ65" s="12">
        <f t="shared" si="34"/>
        <v>11057.482399999997</v>
      </c>
      <c r="AK65" s="12">
        <f t="shared" si="34"/>
        <v>11057.482399999997</v>
      </c>
      <c r="AL65" s="190"/>
      <c r="AM65" s="190"/>
      <c r="AN65" s="190"/>
      <c r="AO65" s="190"/>
      <c r="AP65" s="190"/>
      <c r="AQ65" s="190"/>
      <c r="AR65" s="190"/>
      <c r="AS65" s="190"/>
      <c r="AT65" s="190"/>
      <c r="AU65" s="190"/>
      <c r="AV65" s="190"/>
      <c r="AW65" s="190"/>
      <c r="AX65" s="190"/>
      <c r="AY65" s="190"/>
      <c r="AZ65" s="190"/>
      <c r="BA65" s="190"/>
      <c r="BB65" s="190"/>
      <c r="BC65" s="190"/>
      <c r="BD65" s="190"/>
      <c r="BE65" s="190"/>
      <c r="BF65" s="190"/>
      <c r="BG65" s="190"/>
      <c r="BH65" s="190"/>
      <c r="BI65" s="190"/>
      <c r="BJ65" s="190"/>
      <c r="BK65" s="190"/>
      <c r="BL65" s="190"/>
      <c r="BM65" s="190"/>
      <c r="BN65" s="190"/>
      <c r="BO65" s="190"/>
      <c r="BP65" s="190"/>
      <c r="BQ65" s="190"/>
      <c r="BR65" s="190"/>
      <c r="BS65" s="190"/>
      <c r="BT65" s="190"/>
      <c r="BU65" s="190"/>
      <c r="BV65" s="190"/>
      <c r="BW65" s="190"/>
      <c r="BX65" s="190"/>
      <c r="BY65" s="190"/>
      <c r="BZ65" s="190"/>
      <c r="CA65" s="190"/>
      <c r="CB65" s="190"/>
      <c r="CC65" s="190"/>
      <c r="CD65" s="190"/>
      <c r="CE65" s="190"/>
      <c r="CF65" s="190"/>
      <c r="CG65" s="190"/>
      <c r="CH65" s="190"/>
      <c r="CI65" s="190"/>
      <c r="CJ65" s="190"/>
      <c r="CK65" s="190"/>
      <c r="CL65" s="190"/>
      <c r="CM65" s="190"/>
      <c r="CN65" s="190"/>
      <c r="CO65" s="190"/>
      <c r="CP65" s="190"/>
      <c r="CQ65" s="190"/>
      <c r="CR65" s="190"/>
      <c r="CS65" s="190"/>
      <c r="CT65" s="190"/>
      <c r="CU65" s="190"/>
      <c r="CV65" s="190"/>
      <c r="CW65" s="190"/>
      <c r="CX65" s="190"/>
      <c r="CY65" s="190"/>
      <c r="CZ65" s="190"/>
      <c r="DA65" s="190"/>
      <c r="DB65" s="190"/>
      <c r="DC65" s="190"/>
      <c r="DD65" s="190"/>
      <c r="DE65" s="190"/>
      <c r="DF65" s="190"/>
      <c r="DG65" s="190"/>
      <c r="DH65" s="190"/>
      <c r="DI65" s="190"/>
      <c r="DJ65" s="190"/>
      <c r="DK65" s="190"/>
      <c r="DL65" s="190"/>
      <c r="DM65" s="190"/>
      <c r="DN65" s="190"/>
      <c r="DO65" s="190"/>
      <c r="DP65" s="190"/>
      <c r="DQ65" s="190"/>
      <c r="DR65" s="190"/>
      <c r="DS65" s="190"/>
      <c r="DT65" s="190"/>
    </row>
    <row r="66" spans="1:126" x14ac:dyDescent="0.25">
      <c r="M66" s="190"/>
      <c r="N66" s="190"/>
      <c r="O66" s="190"/>
      <c r="P66" s="190"/>
      <c r="Q66" s="190"/>
      <c r="R66" s="190"/>
      <c r="S66" s="190"/>
      <c r="T66" s="190"/>
      <c r="U66" s="190"/>
      <c r="V66" s="190"/>
      <c r="W66" s="190"/>
      <c r="X66" s="190"/>
      <c r="Y66" s="190"/>
      <c r="Z66" s="190"/>
      <c r="AA66" s="190"/>
      <c r="AB66" s="190"/>
      <c r="AC66" s="190"/>
      <c r="AD66" s="190"/>
      <c r="AE66" s="190"/>
      <c r="AF66" s="190"/>
      <c r="AG66" s="190"/>
      <c r="AH66" s="190"/>
      <c r="AI66" s="190"/>
      <c r="AJ66" s="190"/>
      <c r="AK66" s="190"/>
      <c r="AL66" s="190"/>
      <c r="AM66" s="190"/>
      <c r="AN66" s="190"/>
      <c r="AO66" s="190"/>
      <c r="AP66" s="190"/>
      <c r="AQ66" s="190"/>
      <c r="AR66" s="190"/>
      <c r="AS66" s="190"/>
      <c r="AT66" s="190"/>
      <c r="AU66" s="190"/>
      <c r="AV66" s="190"/>
      <c r="AW66" s="190"/>
      <c r="AX66" s="190"/>
      <c r="AY66" s="190"/>
      <c r="AZ66" s="190"/>
      <c r="BA66" s="190"/>
      <c r="BB66" s="190"/>
      <c r="BC66" s="190"/>
      <c r="BD66" s="190"/>
      <c r="BE66" s="190"/>
      <c r="BF66" s="190"/>
      <c r="BG66" s="190"/>
      <c r="BH66" s="190"/>
      <c r="BI66" s="190"/>
      <c r="BJ66" s="190"/>
      <c r="BK66" s="190"/>
      <c r="BL66" s="190"/>
      <c r="BM66" s="190"/>
      <c r="BN66" s="190"/>
      <c r="BO66" s="190"/>
      <c r="BP66" s="190"/>
      <c r="BQ66" s="190"/>
      <c r="BR66" s="190"/>
      <c r="BS66" s="190"/>
      <c r="BT66" s="190"/>
      <c r="BU66" s="190"/>
      <c r="BV66" s="190"/>
      <c r="BW66" s="190"/>
      <c r="BX66" s="190"/>
      <c r="BY66" s="190"/>
      <c r="BZ66" s="190"/>
      <c r="CA66" s="190"/>
      <c r="CB66" s="190"/>
      <c r="CC66" s="190"/>
      <c r="CD66" s="190"/>
      <c r="CE66" s="190"/>
      <c r="CF66" s="190"/>
      <c r="CG66" s="190"/>
      <c r="CH66" s="190"/>
      <c r="CI66" s="190"/>
      <c r="CJ66" s="190"/>
      <c r="CK66" s="190"/>
      <c r="CL66" s="190"/>
      <c r="CM66" s="190"/>
      <c r="CN66" s="190"/>
      <c r="CO66" s="190"/>
      <c r="CP66" s="190"/>
      <c r="CQ66" s="190"/>
      <c r="CR66" s="190"/>
      <c r="CS66" s="190"/>
      <c r="CT66" s="190"/>
      <c r="CU66" s="190"/>
      <c r="CV66" s="190"/>
      <c r="CW66" s="190"/>
      <c r="CX66" s="190"/>
      <c r="CY66" s="190"/>
      <c r="CZ66" s="190"/>
      <c r="DA66" s="190"/>
      <c r="DB66" s="190"/>
      <c r="DC66" s="190"/>
      <c r="DD66" s="190"/>
      <c r="DE66" s="190"/>
      <c r="DF66" s="190"/>
      <c r="DG66" s="190"/>
      <c r="DH66" s="190"/>
      <c r="DI66" s="190"/>
      <c r="DJ66" s="190"/>
      <c r="DK66" s="190"/>
      <c r="DL66" s="190"/>
      <c r="DM66" s="190"/>
      <c r="DN66" s="190"/>
      <c r="DO66" s="190"/>
      <c r="DP66" s="190"/>
      <c r="DQ66" s="190"/>
      <c r="DR66" s="190"/>
      <c r="DS66" s="190"/>
      <c r="DT66" s="190"/>
    </row>
    <row r="67" spans="1:126" x14ac:dyDescent="0.25">
      <c r="B67" s="469" t="s">
        <v>558</v>
      </c>
      <c r="M67" s="190"/>
      <c r="N67" s="190"/>
      <c r="O67" s="190"/>
      <c r="P67" s="190"/>
      <c r="Q67" s="190"/>
      <c r="R67" s="190"/>
      <c r="S67" s="190"/>
      <c r="T67" s="190"/>
      <c r="U67" s="190"/>
      <c r="V67" s="190"/>
      <c r="W67" s="190"/>
      <c r="X67" s="190"/>
      <c r="Y67" s="190"/>
      <c r="Z67" s="190"/>
      <c r="AA67" s="190"/>
      <c r="AB67" s="190"/>
      <c r="AC67" s="190"/>
      <c r="AD67" s="190"/>
      <c r="AE67" s="190"/>
      <c r="AF67" s="190"/>
      <c r="AG67" s="190"/>
      <c r="AH67" s="190"/>
      <c r="AI67" s="190"/>
      <c r="AJ67" s="190"/>
      <c r="AK67" s="190"/>
      <c r="AL67" s="190"/>
      <c r="AM67" s="190"/>
      <c r="AN67" s="190"/>
      <c r="AO67" s="190"/>
      <c r="AP67" s="190"/>
      <c r="AQ67" s="190"/>
      <c r="AR67" s="190"/>
      <c r="AS67" s="190"/>
      <c r="AT67" s="190"/>
      <c r="AU67" s="190"/>
      <c r="AV67" s="190"/>
      <c r="AW67" s="190"/>
      <c r="AX67" s="190"/>
      <c r="AY67" s="190"/>
      <c r="AZ67" s="190"/>
      <c r="BA67" s="190"/>
      <c r="BB67" s="190"/>
      <c r="BC67" s="190"/>
      <c r="BD67" s="190"/>
      <c r="BE67" s="190"/>
      <c r="BF67" s="190"/>
      <c r="BG67" s="190"/>
      <c r="BH67" s="190"/>
      <c r="BI67" s="190"/>
      <c r="BJ67" s="190"/>
      <c r="BK67" s="190"/>
      <c r="BL67" s="190"/>
      <c r="BM67" s="190"/>
      <c r="BN67" s="190"/>
      <c r="BO67" s="190"/>
      <c r="BP67" s="190"/>
      <c r="BQ67" s="190"/>
      <c r="BR67" s="190"/>
      <c r="BS67" s="190"/>
      <c r="BT67" s="190"/>
      <c r="BU67" s="190"/>
      <c r="BV67" s="190"/>
      <c r="BW67" s="190"/>
      <c r="BX67" s="190"/>
      <c r="BY67" s="190"/>
      <c r="BZ67" s="190"/>
      <c r="CA67" s="190"/>
      <c r="CB67" s="190"/>
      <c r="CC67" s="190"/>
      <c r="CD67" s="190"/>
      <c r="CE67" s="190"/>
      <c r="CF67" s="190"/>
      <c r="CG67" s="190"/>
      <c r="CH67" s="190"/>
      <c r="CI67" s="190"/>
      <c r="CJ67" s="190"/>
      <c r="CK67" s="190"/>
      <c r="CL67" s="190"/>
      <c r="CM67" s="190"/>
      <c r="CN67" s="190"/>
      <c r="CO67" s="190"/>
      <c r="CP67" s="190"/>
      <c r="CQ67" s="190"/>
      <c r="CR67" s="190"/>
      <c r="CS67" s="190"/>
      <c r="CT67" s="190"/>
      <c r="CU67" s="190"/>
      <c r="CV67" s="190"/>
      <c r="CW67" s="190"/>
      <c r="CX67" s="190"/>
      <c r="CY67" s="190"/>
      <c r="CZ67" s="190"/>
      <c r="DA67" s="190"/>
      <c r="DB67" s="190"/>
      <c r="DC67" s="190"/>
      <c r="DD67" s="190"/>
      <c r="DE67" s="190"/>
      <c r="DF67" s="190"/>
      <c r="DG67" s="190"/>
      <c r="DH67" s="190"/>
      <c r="DI67" s="190"/>
      <c r="DJ67" s="190"/>
      <c r="DK67" s="190"/>
      <c r="DL67" s="190"/>
      <c r="DM67" s="190"/>
      <c r="DN67" s="190"/>
      <c r="DO67" s="190"/>
      <c r="DP67" s="190"/>
      <c r="DQ67" s="190"/>
      <c r="DR67" s="190"/>
      <c r="DS67" s="190"/>
      <c r="DT67" s="190"/>
      <c r="DU67" s="190"/>
      <c r="DV67" s="190"/>
    </row>
    <row r="68" spans="1:126" x14ac:dyDescent="0.25">
      <c r="B68" s="470"/>
      <c r="M68" s="190"/>
      <c r="N68" s="190"/>
      <c r="O68" s="190"/>
      <c r="P68" s="190"/>
      <c r="Q68" s="190"/>
      <c r="R68" s="190"/>
      <c r="S68" s="190"/>
      <c r="T68" s="190"/>
      <c r="U68" s="190"/>
      <c r="V68" s="190"/>
      <c r="W68" s="190"/>
      <c r="X68" s="190"/>
      <c r="Y68" s="190"/>
      <c r="Z68" s="190"/>
      <c r="AA68" s="190"/>
      <c r="AB68" s="190"/>
      <c r="AC68" s="190"/>
      <c r="AD68" s="190"/>
      <c r="AE68" s="190"/>
      <c r="AF68" s="190"/>
      <c r="AG68" s="190"/>
      <c r="AH68" s="190"/>
      <c r="AI68" s="190"/>
      <c r="AJ68" s="190"/>
      <c r="AK68" s="190"/>
      <c r="AL68" s="190"/>
      <c r="AM68" s="190"/>
      <c r="AN68" s="190"/>
      <c r="AO68" s="190"/>
      <c r="AP68" s="190"/>
      <c r="AQ68" s="190"/>
      <c r="AR68" s="190"/>
      <c r="AS68" s="190"/>
      <c r="AT68" s="190"/>
      <c r="AU68" s="190"/>
      <c r="AV68" s="190"/>
      <c r="AW68" s="190"/>
      <c r="AX68" s="190"/>
      <c r="AY68" s="190"/>
      <c r="AZ68" s="190"/>
      <c r="BA68" s="190"/>
      <c r="BB68" s="190"/>
      <c r="BC68" s="190"/>
      <c r="BD68" s="190"/>
      <c r="BE68" s="190"/>
      <c r="BF68" s="190"/>
      <c r="BG68" s="190"/>
      <c r="BH68" s="190"/>
      <c r="BI68" s="190"/>
      <c r="BJ68" s="190"/>
      <c r="BK68" s="190"/>
      <c r="BL68" s="190"/>
      <c r="BM68" s="190"/>
      <c r="BN68" s="190"/>
      <c r="BO68" s="190"/>
      <c r="BP68" s="190"/>
      <c r="BQ68" s="190"/>
      <c r="BR68" s="190"/>
      <c r="BS68" s="190"/>
      <c r="BT68" s="190"/>
      <c r="BU68" s="190"/>
      <c r="BV68" s="190"/>
      <c r="BW68" s="190"/>
      <c r="BX68" s="190"/>
      <c r="BY68" s="190"/>
      <c r="BZ68" s="190"/>
      <c r="CA68" s="190"/>
      <c r="CB68" s="190"/>
      <c r="CC68" s="190"/>
      <c r="CD68" s="190"/>
      <c r="CE68" s="190"/>
      <c r="CF68" s="190"/>
      <c r="CG68" s="190"/>
      <c r="CH68" s="190"/>
      <c r="CI68" s="190"/>
      <c r="CJ68" s="190"/>
      <c r="CK68" s="190"/>
      <c r="CL68" s="190"/>
      <c r="CM68" s="190"/>
      <c r="CN68" s="190"/>
      <c r="CO68" s="190"/>
      <c r="CP68" s="190"/>
      <c r="CQ68" s="190"/>
      <c r="CR68" s="190"/>
      <c r="CS68" s="190"/>
      <c r="CT68" s="190"/>
      <c r="CU68" s="190"/>
      <c r="CV68" s="190"/>
      <c r="CW68" s="190"/>
      <c r="CX68" s="190"/>
      <c r="CY68" s="190"/>
      <c r="CZ68" s="190"/>
      <c r="DA68" s="190"/>
      <c r="DB68" s="190"/>
      <c r="DC68" s="190"/>
      <c r="DD68" s="190"/>
      <c r="DE68" s="190"/>
      <c r="DF68" s="190"/>
      <c r="DG68" s="190"/>
      <c r="DH68" s="190"/>
      <c r="DI68" s="190"/>
      <c r="DJ68" s="190"/>
      <c r="DK68" s="190"/>
      <c r="DL68" s="190"/>
      <c r="DM68" s="190"/>
      <c r="DN68" s="190"/>
      <c r="DO68" s="190"/>
      <c r="DP68" s="190"/>
      <c r="DQ68" s="190"/>
      <c r="DR68" s="190"/>
      <c r="DS68" s="190"/>
      <c r="DT68" s="190"/>
      <c r="DU68" s="190"/>
      <c r="DV68" s="190"/>
    </row>
    <row r="69" spans="1:126" x14ac:dyDescent="0.25">
      <c r="B69" s="301" t="s">
        <v>178</v>
      </c>
      <c r="C69" s="302" t="s">
        <v>154</v>
      </c>
      <c r="E69" s="300" t="s">
        <v>169</v>
      </c>
      <c r="F69" s="300" t="s">
        <v>555</v>
      </c>
      <c r="G69" s="300" t="s">
        <v>170</v>
      </c>
      <c r="H69" s="300" t="s">
        <v>193</v>
      </c>
      <c r="J69" s="780" t="s">
        <v>180</v>
      </c>
      <c r="K69" s="780"/>
      <c r="M69" s="190"/>
      <c r="N69" s="12" t="s">
        <v>0</v>
      </c>
      <c r="O69" s="12" t="s">
        <v>1</v>
      </c>
      <c r="P69" s="12" t="s">
        <v>49</v>
      </c>
      <c r="Q69" s="12" t="s">
        <v>50</v>
      </c>
      <c r="R69" s="12" t="s">
        <v>51</v>
      </c>
      <c r="S69" s="12" t="s">
        <v>52</v>
      </c>
      <c r="T69" s="12" t="s">
        <v>53</v>
      </c>
      <c r="U69" s="12" t="s">
        <v>54</v>
      </c>
      <c r="V69" s="12" t="s">
        <v>55</v>
      </c>
      <c r="W69" s="12" t="s">
        <v>56</v>
      </c>
      <c r="X69" s="12" t="s">
        <v>57</v>
      </c>
      <c r="Y69" s="12" t="s">
        <v>58</v>
      </c>
      <c r="Z69" s="190"/>
      <c r="AA69" s="190"/>
      <c r="AB69" s="12" t="s">
        <v>2</v>
      </c>
      <c r="AC69" s="12" t="s">
        <v>14</v>
      </c>
      <c r="AD69" s="12" t="s">
        <v>15</v>
      </c>
      <c r="AE69" s="12" t="s">
        <v>16</v>
      </c>
      <c r="AF69" s="12" t="s">
        <v>17</v>
      </c>
      <c r="AG69" s="12" t="s">
        <v>18</v>
      </c>
      <c r="AH69" s="12" t="s">
        <v>19</v>
      </c>
      <c r="AI69" s="12" t="s">
        <v>20</v>
      </c>
      <c r="AJ69" s="12" t="s">
        <v>21</v>
      </c>
      <c r="AK69" s="12" t="s">
        <v>22</v>
      </c>
      <c r="AL69" s="190"/>
      <c r="AM69" s="190"/>
      <c r="AN69" s="190"/>
      <c r="AO69" s="190"/>
      <c r="AP69" s="190"/>
      <c r="AQ69" s="190"/>
      <c r="AR69" s="190"/>
      <c r="AS69" s="190"/>
      <c r="AT69" s="190"/>
      <c r="AU69" s="190"/>
      <c r="AV69" s="190"/>
      <c r="AW69" s="190"/>
      <c r="AX69" s="190"/>
      <c r="AY69" s="190"/>
      <c r="AZ69" s="190"/>
      <c r="BA69" s="190"/>
      <c r="BB69" s="190"/>
      <c r="BC69" s="190"/>
      <c r="BD69" s="190"/>
      <c r="BE69" s="190"/>
      <c r="BF69" s="190"/>
      <c r="BG69" s="190"/>
      <c r="BH69" s="190"/>
      <c r="BI69" s="190"/>
      <c r="BJ69" s="190"/>
      <c r="BK69" s="190"/>
      <c r="BL69" s="190"/>
      <c r="BM69" s="190"/>
      <c r="BN69" s="190"/>
      <c r="BO69" s="190"/>
      <c r="BP69" s="190"/>
      <c r="BQ69" s="190"/>
      <c r="BR69" s="190"/>
      <c r="BS69" s="190"/>
      <c r="BT69" s="190"/>
      <c r="BU69" s="190"/>
      <c r="BV69" s="190"/>
      <c r="BW69" s="190"/>
      <c r="BX69" s="190"/>
      <c r="BY69" s="190"/>
      <c r="BZ69" s="190"/>
      <c r="CA69" s="190"/>
      <c r="CB69" s="190"/>
      <c r="CC69" s="190"/>
      <c r="CD69" s="190"/>
      <c r="CE69" s="190"/>
      <c r="CF69" s="190"/>
      <c r="CG69" s="190"/>
      <c r="CH69" s="190"/>
      <c r="CI69" s="190"/>
      <c r="CJ69" s="190"/>
      <c r="CK69" s="190"/>
      <c r="CL69" s="190"/>
      <c r="CM69" s="190"/>
      <c r="CN69" s="190"/>
      <c r="CO69" s="190"/>
      <c r="CP69" s="190"/>
      <c r="CQ69" s="190"/>
      <c r="CR69" s="190"/>
      <c r="CS69" s="190"/>
      <c r="CT69" s="190"/>
      <c r="CU69" s="190"/>
      <c r="CV69" s="190"/>
      <c r="CW69" s="190"/>
      <c r="CX69" s="190"/>
      <c r="CY69" s="190"/>
      <c r="CZ69" s="190"/>
      <c r="DA69" s="190"/>
      <c r="DB69" s="190"/>
      <c r="DC69" s="190"/>
      <c r="DD69" s="190"/>
      <c r="DE69" s="190"/>
      <c r="DF69" s="190"/>
      <c r="DG69" s="190"/>
      <c r="DH69" s="190"/>
      <c r="DI69" s="190"/>
      <c r="DJ69" s="190"/>
      <c r="DK69" s="190"/>
      <c r="DL69" s="190"/>
      <c r="DM69" s="190"/>
      <c r="DN69" s="190"/>
      <c r="DO69" s="190"/>
      <c r="DP69" s="190"/>
      <c r="DQ69" s="190"/>
      <c r="DR69" s="190"/>
      <c r="DS69" s="190"/>
      <c r="DT69" s="190"/>
      <c r="DU69" s="190"/>
      <c r="DV69" s="190"/>
    </row>
    <row r="70" spans="1:126" x14ac:dyDescent="0.25">
      <c r="B70" s="473" t="s">
        <v>242</v>
      </c>
      <c r="C70" s="438"/>
      <c r="E70" s="184">
        <v>2</v>
      </c>
      <c r="F70" s="184" t="s">
        <v>243</v>
      </c>
      <c r="G70" s="184">
        <f>15/1.18</f>
        <v>12.711864406779661</v>
      </c>
      <c r="H70" s="184">
        <f>E70*G70</f>
        <v>25.423728813559322</v>
      </c>
      <c r="J70" s="184" t="s">
        <v>172</v>
      </c>
      <c r="K70" s="184" t="s">
        <v>196</v>
      </c>
      <c r="M70" s="190"/>
      <c r="N70" s="184">
        <f>E70*G70*5</f>
        <v>127.11864406779661</v>
      </c>
      <c r="O70" s="184"/>
      <c r="P70" s="184"/>
      <c r="Q70" s="184"/>
      <c r="R70" s="184"/>
      <c r="S70" s="184"/>
      <c r="T70" s="184"/>
      <c r="U70" s="184"/>
      <c r="V70" s="184"/>
      <c r="W70" s="184"/>
      <c r="X70" s="184"/>
      <c r="Y70" s="184"/>
      <c r="Z70" s="190"/>
      <c r="AA70" s="190"/>
      <c r="AB70" s="184">
        <f>SUM(N70:Y70)</f>
        <v>127.11864406779661</v>
      </c>
      <c r="AC70" s="184">
        <f>AB70</f>
        <v>127.11864406779661</v>
      </c>
      <c r="AD70" s="184">
        <f>E70*G70*6</f>
        <v>152.54237288135593</v>
      </c>
      <c r="AE70" s="184">
        <f>AD70</f>
        <v>152.54237288135593</v>
      </c>
      <c r="AF70" s="184">
        <f>E70*G70*7</f>
        <v>177.96610169491527</v>
      </c>
      <c r="AG70" s="184">
        <f t="shared" ref="AG70:AH72" si="43">AF70</f>
        <v>177.96610169491527</v>
      </c>
      <c r="AH70" s="184">
        <f t="shared" si="43"/>
        <v>177.96610169491527</v>
      </c>
      <c r="AI70" s="184">
        <f>E70*G70*8</f>
        <v>203.38983050847457</v>
      </c>
      <c r="AJ70" s="184">
        <f t="shared" ref="AJ70:AK72" si="44">AI70</f>
        <v>203.38983050847457</v>
      </c>
      <c r="AK70" s="184">
        <f t="shared" si="44"/>
        <v>203.38983050847457</v>
      </c>
      <c r="AL70" s="190"/>
      <c r="AM70" s="190"/>
      <c r="AN70" s="190"/>
      <c r="AO70" s="190"/>
      <c r="AP70" s="190"/>
      <c r="AQ70" s="190"/>
      <c r="AR70" s="190"/>
      <c r="AS70" s="190"/>
      <c r="AT70" s="190"/>
      <c r="AU70" s="190"/>
      <c r="AV70" s="190"/>
      <c r="AW70" s="190"/>
      <c r="AX70" s="190"/>
      <c r="AY70" s="190"/>
      <c r="AZ70" s="190"/>
      <c r="BA70" s="190"/>
      <c r="BB70" s="190"/>
      <c r="BC70" s="190"/>
      <c r="BD70" s="190"/>
      <c r="BE70" s="190"/>
      <c r="BF70" s="190"/>
      <c r="BG70" s="190"/>
      <c r="BH70" s="190"/>
      <c r="BI70" s="190"/>
      <c r="BJ70" s="190"/>
      <c r="BK70" s="190"/>
      <c r="BL70" s="190"/>
      <c r="BM70" s="190"/>
      <c r="BN70" s="190"/>
      <c r="BO70" s="190"/>
      <c r="BP70" s="190"/>
      <c r="BQ70" s="190"/>
      <c r="BR70" s="190"/>
      <c r="BS70" s="190"/>
      <c r="BT70" s="190"/>
      <c r="BU70" s="190"/>
      <c r="BV70" s="190"/>
      <c r="BW70" s="190"/>
      <c r="BX70" s="190"/>
      <c r="BY70" s="190"/>
      <c r="BZ70" s="190"/>
      <c r="CA70" s="190"/>
      <c r="CB70" s="190"/>
      <c r="CC70" s="190"/>
      <c r="CD70" s="190"/>
      <c r="CE70" s="190"/>
      <c r="CF70" s="190"/>
      <c r="CG70" s="190"/>
      <c r="CH70" s="190"/>
      <c r="CI70" s="190"/>
      <c r="CJ70" s="190"/>
      <c r="CK70" s="190"/>
      <c r="CL70" s="190"/>
      <c r="CM70" s="190"/>
      <c r="CN70" s="190"/>
      <c r="CO70" s="190"/>
      <c r="CP70" s="190"/>
      <c r="CQ70" s="190"/>
      <c r="CR70" s="190"/>
      <c r="CS70" s="190"/>
      <c r="CT70" s="190"/>
      <c r="CU70" s="190"/>
      <c r="CV70" s="190"/>
      <c r="CW70" s="190"/>
      <c r="CX70" s="190"/>
      <c r="CY70" s="190"/>
      <c r="CZ70" s="190"/>
      <c r="DA70" s="190"/>
      <c r="DB70" s="190"/>
      <c r="DC70" s="190"/>
      <c r="DD70" s="190"/>
      <c r="DE70" s="190"/>
      <c r="DF70" s="190"/>
      <c r="DG70" s="190"/>
      <c r="DH70" s="190"/>
      <c r="DI70" s="190"/>
      <c r="DJ70" s="190"/>
      <c r="DK70" s="190"/>
      <c r="DL70" s="190"/>
      <c r="DM70" s="190"/>
      <c r="DN70" s="190"/>
      <c r="DO70" s="190"/>
      <c r="DP70" s="190"/>
      <c r="DQ70" s="190"/>
      <c r="DR70" s="190"/>
      <c r="DS70" s="190"/>
      <c r="DT70" s="190"/>
      <c r="DU70" s="190"/>
      <c r="DV70" s="190"/>
    </row>
    <row r="71" spans="1:126" x14ac:dyDescent="0.25">
      <c r="B71" s="473" t="s">
        <v>244</v>
      </c>
      <c r="C71" s="438"/>
      <c r="E71" s="184">
        <v>2</v>
      </c>
      <c r="F71" s="184" t="s">
        <v>243</v>
      </c>
      <c r="G71" s="184">
        <f>12/1.18</f>
        <v>10.16949152542373</v>
      </c>
      <c r="H71" s="184">
        <f>E71*G71</f>
        <v>20.33898305084746</v>
      </c>
      <c r="J71" s="184" t="s">
        <v>172</v>
      </c>
      <c r="K71" s="184" t="s">
        <v>196</v>
      </c>
      <c r="M71" s="190"/>
      <c r="N71" s="184">
        <f>E71*G71*5</f>
        <v>101.6949152542373</v>
      </c>
      <c r="O71" s="184"/>
      <c r="P71" s="184"/>
      <c r="Q71" s="184"/>
      <c r="R71" s="184"/>
      <c r="S71" s="184"/>
      <c r="T71" s="184"/>
      <c r="U71" s="184"/>
      <c r="V71" s="184"/>
      <c r="W71" s="184"/>
      <c r="X71" s="184"/>
      <c r="Y71" s="184"/>
      <c r="Z71" s="190"/>
      <c r="AA71" s="190"/>
      <c r="AB71" s="184">
        <f>SUM(N71:Y71)</f>
        <v>101.6949152542373</v>
      </c>
      <c r="AC71" s="184">
        <f>AB71</f>
        <v>101.6949152542373</v>
      </c>
      <c r="AD71" s="184">
        <f>E71*G71*6</f>
        <v>122.03389830508476</v>
      </c>
      <c r="AE71" s="184">
        <f>AD71</f>
        <v>122.03389830508476</v>
      </c>
      <c r="AF71" s="184">
        <f>E71*G71*7</f>
        <v>142.37288135593224</v>
      </c>
      <c r="AG71" s="184">
        <f t="shared" si="43"/>
        <v>142.37288135593224</v>
      </c>
      <c r="AH71" s="184">
        <f t="shared" si="43"/>
        <v>142.37288135593224</v>
      </c>
      <c r="AI71" s="184">
        <f>$E$71*$G$71*8</f>
        <v>162.71186440677968</v>
      </c>
      <c r="AJ71" s="184">
        <f t="shared" si="44"/>
        <v>162.71186440677968</v>
      </c>
      <c r="AK71" s="184">
        <f t="shared" si="44"/>
        <v>162.71186440677968</v>
      </c>
      <c r="AL71" s="190"/>
      <c r="AM71" s="190"/>
      <c r="AN71" s="190"/>
      <c r="AO71" s="190"/>
      <c r="AP71" s="190"/>
      <c r="AQ71" s="190"/>
      <c r="AR71" s="190"/>
      <c r="AS71" s="190"/>
      <c r="AT71" s="190"/>
      <c r="AU71" s="190"/>
      <c r="AV71" s="190"/>
      <c r="AW71" s="190"/>
      <c r="AX71" s="190"/>
      <c r="AY71" s="190"/>
      <c r="AZ71" s="190"/>
      <c r="BA71" s="190"/>
      <c r="BB71" s="190"/>
      <c r="BC71" s="190"/>
      <c r="BD71" s="190"/>
      <c r="BE71" s="190"/>
      <c r="BF71" s="190"/>
      <c r="BG71" s="190"/>
      <c r="BH71" s="190"/>
      <c r="BI71" s="190"/>
      <c r="BJ71" s="190"/>
      <c r="BK71" s="190"/>
      <c r="BL71" s="190"/>
      <c r="BM71" s="190"/>
      <c r="BN71" s="190"/>
      <c r="BO71" s="190"/>
      <c r="BP71" s="190"/>
      <c r="BQ71" s="190"/>
      <c r="BR71" s="190"/>
      <c r="BS71" s="190"/>
      <c r="BT71" s="190"/>
      <c r="BU71" s="190"/>
      <c r="BV71" s="190"/>
      <c r="BW71" s="190"/>
      <c r="BX71" s="190"/>
      <c r="BY71" s="190"/>
      <c r="BZ71" s="190"/>
      <c r="CA71" s="190"/>
      <c r="CB71" s="190"/>
      <c r="CC71" s="190"/>
      <c r="CD71" s="190"/>
      <c r="CE71" s="190"/>
      <c r="CF71" s="190"/>
      <c r="CG71" s="190"/>
      <c r="CH71" s="190"/>
      <c r="CI71" s="190"/>
      <c r="CJ71" s="190"/>
      <c r="CK71" s="190"/>
      <c r="CL71" s="190"/>
      <c r="CM71" s="190"/>
      <c r="CN71" s="190"/>
      <c r="CO71" s="190"/>
      <c r="CP71" s="190"/>
      <c r="CQ71" s="190"/>
      <c r="CR71" s="190"/>
      <c r="CS71" s="190"/>
      <c r="CT71" s="190"/>
      <c r="CU71" s="190"/>
      <c r="CV71" s="190"/>
      <c r="CW71" s="190"/>
      <c r="CX71" s="190"/>
      <c r="CY71" s="190"/>
      <c r="CZ71" s="190"/>
      <c r="DA71" s="190"/>
      <c r="DB71" s="190"/>
      <c r="DC71" s="190"/>
      <c r="DD71" s="190"/>
      <c r="DE71" s="190"/>
      <c r="DF71" s="190"/>
      <c r="DG71" s="190"/>
      <c r="DH71" s="190"/>
      <c r="DI71" s="190"/>
      <c r="DJ71" s="190"/>
      <c r="DK71" s="190"/>
      <c r="DL71" s="190"/>
      <c r="DM71" s="190"/>
      <c r="DN71" s="190"/>
      <c r="DO71" s="190"/>
      <c r="DP71" s="190"/>
      <c r="DQ71" s="190"/>
      <c r="DR71" s="190"/>
      <c r="DS71" s="190"/>
      <c r="DT71" s="190"/>
      <c r="DU71" s="190"/>
      <c r="DV71" s="190"/>
    </row>
    <row r="72" spans="1:126" x14ac:dyDescent="0.25">
      <c r="B72" s="473" t="s">
        <v>245</v>
      </c>
      <c r="C72" s="438"/>
      <c r="E72" s="184">
        <v>1</v>
      </c>
      <c r="F72" s="184" t="s">
        <v>243</v>
      </c>
      <c r="G72" s="184">
        <f>10/1.18</f>
        <v>8.4745762711864412</v>
      </c>
      <c r="H72" s="184">
        <f>E72*G72</f>
        <v>8.4745762711864412</v>
      </c>
      <c r="J72" s="184" t="s">
        <v>172</v>
      </c>
      <c r="K72" s="184" t="s">
        <v>196</v>
      </c>
      <c r="M72" s="190"/>
      <c r="N72" s="184">
        <f>E72*G72*5</f>
        <v>42.372881355932208</v>
      </c>
      <c r="O72" s="184"/>
      <c r="P72" s="184"/>
      <c r="Q72" s="184"/>
      <c r="R72" s="184"/>
      <c r="S72" s="184"/>
      <c r="T72" s="184"/>
      <c r="U72" s="184"/>
      <c r="V72" s="184"/>
      <c r="W72" s="184"/>
      <c r="X72" s="184"/>
      <c r="Y72" s="184"/>
      <c r="Z72" s="190"/>
      <c r="AA72" s="190"/>
      <c r="AB72" s="184">
        <f>SUM(N72:Y72)</f>
        <v>42.372881355932208</v>
      </c>
      <c r="AC72" s="184">
        <f>AB72</f>
        <v>42.372881355932208</v>
      </c>
      <c r="AD72" s="184">
        <f>E72*G72*6</f>
        <v>50.847457627118644</v>
      </c>
      <c r="AE72" s="184">
        <f>AD72</f>
        <v>50.847457627118644</v>
      </c>
      <c r="AF72" s="184">
        <f>E72*G72*7</f>
        <v>59.322033898305087</v>
      </c>
      <c r="AG72" s="184">
        <f t="shared" si="43"/>
        <v>59.322033898305087</v>
      </c>
      <c r="AH72" s="184">
        <f t="shared" si="43"/>
        <v>59.322033898305087</v>
      </c>
      <c r="AI72" s="184">
        <f>$E$72*$G$72*8</f>
        <v>67.79661016949153</v>
      </c>
      <c r="AJ72" s="184">
        <f t="shared" si="44"/>
        <v>67.79661016949153</v>
      </c>
      <c r="AK72" s="184">
        <f t="shared" si="44"/>
        <v>67.79661016949153</v>
      </c>
      <c r="AL72" s="190"/>
      <c r="AM72" s="190"/>
      <c r="AN72" s="190"/>
      <c r="AO72" s="190"/>
      <c r="AP72" s="190"/>
      <c r="AQ72" s="190"/>
      <c r="AR72" s="190"/>
      <c r="AS72" s="190"/>
      <c r="AT72" s="190"/>
      <c r="AU72" s="190"/>
      <c r="AV72" s="190"/>
      <c r="AW72" s="190"/>
      <c r="AX72" s="190"/>
      <c r="AY72" s="190"/>
      <c r="AZ72" s="190"/>
      <c r="BA72" s="190"/>
      <c r="BB72" s="190"/>
      <c r="BC72" s="190"/>
      <c r="BD72" s="190"/>
      <c r="BE72" s="190"/>
      <c r="BF72" s="190"/>
      <c r="BG72" s="190"/>
      <c r="BH72" s="190"/>
      <c r="BI72" s="190"/>
      <c r="BJ72" s="190"/>
      <c r="BK72" s="190"/>
      <c r="BL72" s="190"/>
      <c r="BM72" s="190"/>
      <c r="BN72" s="190"/>
      <c r="BO72" s="190"/>
      <c r="BP72" s="190"/>
      <c r="BQ72" s="190"/>
      <c r="BR72" s="190"/>
      <c r="BS72" s="190"/>
      <c r="BT72" s="190"/>
      <c r="BU72" s="190"/>
      <c r="BV72" s="190"/>
      <c r="BW72" s="190"/>
      <c r="BX72" s="190"/>
      <c r="BY72" s="190"/>
      <c r="BZ72" s="190"/>
      <c r="CA72" s="190"/>
      <c r="CB72" s="190"/>
      <c r="CC72" s="190"/>
      <c r="CD72" s="190"/>
      <c r="CE72" s="190"/>
      <c r="CF72" s="190"/>
      <c r="CG72" s="190"/>
      <c r="CH72" s="190"/>
      <c r="CI72" s="190"/>
      <c r="CJ72" s="190"/>
      <c r="CK72" s="190"/>
      <c r="CL72" s="190"/>
      <c r="CM72" s="190"/>
      <c r="CN72" s="190"/>
      <c r="CO72" s="190"/>
      <c r="CP72" s="190"/>
      <c r="CQ72" s="190"/>
      <c r="CR72" s="190"/>
      <c r="CS72" s="190"/>
      <c r="CT72" s="190"/>
      <c r="CU72" s="190"/>
      <c r="CV72" s="190"/>
      <c r="CW72" s="190"/>
      <c r="CX72" s="190"/>
      <c r="CY72" s="190"/>
      <c r="CZ72" s="190"/>
      <c r="DA72" s="190"/>
      <c r="DB72" s="190"/>
      <c r="DC72" s="190"/>
      <c r="DD72" s="190"/>
      <c r="DE72" s="190"/>
      <c r="DF72" s="190"/>
      <c r="DG72" s="190"/>
      <c r="DH72" s="190"/>
      <c r="DI72" s="190"/>
      <c r="DJ72" s="190"/>
      <c r="DK72" s="190"/>
      <c r="DL72" s="190"/>
      <c r="DM72" s="190"/>
      <c r="DN72" s="190"/>
      <c r="DO72" s="190"/>
      <c r="DP72" s="190"/>
      <c r="DQ72" s="190"/>
      <c r="DR72" s="190"/>
      <c r="DS72" s="190"/>
      <c r="DT72" s="190"/>
      <c r="DU72" s="190"/>
      <c r="DV72" s="190"/>
    </row>
    <row r="73" spans="1:126" x14ac:dyDescent="0.25">
      <c r="M73" s="12" t="s">
        <v>114</v>
      </c>
      <c r="N73" s="12">
        <f>SUM(N70:N72)</f>
        <v>271.18644067796612</v>
      </c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>
        <f>SUM(N73:Y73)</f>
        <v>271.18644067796612</v>
      </c>
      <c r="AA73" s="190"/>
      <c r="AB73" s="12">
        <f>SUM(N73:Y73)</f>
        <v>271.18644067796612</v>
      </c>
      <c r="AC73" s="12">
        <f>AB73</f>
        <v>271.18644067796612</v>
      </c>
      <c r="AD73" s="12">
        <f>SUM(AD70:AD72)</f>
        <v>325.42372881355936</v>
      </c>
      <c r="AE73" s="12">
        <f>AD73</f>
        <v>325.42372881355936</v>
      </c>
      <c r="AF73" s="12">
        <f t="shared" ref="AF73:AK73" si="45">SUM(AF70:AF72)</f>
        <v>379.66101694915261</v>
      </c>
      <c r="AG73" s="12">
        <f t="shared" si="45"/>
        <v>379.66101694915261</v>
      </c>
      <c r="AH73" s="12">
        <f t="shared" si="45"/>
        <v>379.66101694915261</v>
      </c>
      <c r="AI73" s="12">
        <f t="shared" si="45"/>
        <v>433.8983050847458</v>
      </c>
      <c r="AJ73" s="12">
        <f t="shared" si="45"/>
        <v>433.8983050847458</v>
      </c>
      <c r="AK73" s="12">
        <f t="shared" si="45"/>
        <v>433.8983050847458</v>
      </c>
      <c r="AL73" s="190"/>
      <c r="AM73" s="190"/>
      <c r="AN73" s="190"/>
      <c r="AO73" s="190"/>
      <c r="AP73" s="190"/>
      <c r="AQ73" s="190"/>
      <c r="AR73" s="190"/>
      <c r="AS73" s="190"/>
      <c r="AT73" s="190"/>
      <c r="AU73" s="190"/>
      <c r="AV73" s="190"/>
      <c r="AW73" s="190"/>
      <c r="AX73" s="190"/>
      <c r="AY73" s="190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0"/>
      <c r="BZ73" s="190"/>
      <c r="CA73" s="190"/>
      <c r="CB73" s="190"/>
      <c r="CC73" s="190"/>
      <c r="CD73" s="190"/>
      <c r="CE73" s="190"/>
      <c r="CF73" s="190"/>
      <c r="CG73" s="190"/>
      <c r="CH73" s="190"/>
      <c r="CI73" s="190"/>
      <c r="CJ73" s="190"/>
      <c r="CK73" s="190"/>
      <c r="CL73" s="190"/>
      <c r="CM73" s="190"/>
      <c r="CN73" s="190"/>
      <c r="CO73" s="190"/>
      <c r="CP73" s="190"/>
      <c r="CQ73" s="190"/>
      <c r="CR73" s="190"/>
      <c r="CS73" s="190"/>
      <c r="CT73" s="190"/>
      <c r="CU73" s="190"/>
      <c r="CV73" s="190"/>
      <c r="CW73" s="190"/>
      <c r="CX73" s="190"/>
      <c r="CY73" s="190"/>
      <c r="CZ73" s="190"/>
      <c r="DA73" s="190"/>
      <c r="DB73" s="190"/>
      <c r="DC73" s="190"/>
      <c r="DD73" s="190"/>
      <c r="DE73" s="190"/>
      <c r="DF73" s="190"/>
      <c r="DG73" s="190"/>
      <c r="DH73" s="190"/>
      <c r="DI73" s="190"/>
      <c r="DJ73" s="190"/>
      <c r="DK73" s="190"/>
      <c r="DL73" s="190"/>
      <c r="DM73" s="190"/>
      <c r="DN73" s="190"/>
      <c r="DO73" s="190"/>
      <c r="DP73" s="190"/>
      <c r="DQ73" s="190"/>
      <c r="DR73" s="190"/>
      <c r="DS73" s="190"/>
      <c r="DT73" s="190"/>
      <c r="DU73" s="190"/>
      <c r="DV73" s="190"/>
    </row>
    <row r="74" spans="1:126" x14ac:dyDescent="0.25">
      <c r="M74" s="190"/>
      <c r="N74" s="230"/>
      <c r="O74" s="230"/>
      <c r="P74" s="230"/>
      <c r="Q74" s="230"/>
      <c r="R74" s="230"/>
      <c r="S74" s="230"/>
      <c r="T74" s="230"/>
      <c r="U74" s="230"/>
      <c r="V74" s="230"/>
      <c r="W74" s="230"/>
      <c r="X74" s="230"/>
      <c r="Y74" s="230"/>
      <c r="Z74" s="190"/>
      <c r="AA74" s="190"/>
      <c r="AB74" s="190"/>
      <c r="AC74" s="190"/>
      <c r="AD74" s="190"/>
      <c r="AE74" s="190"/>
      <c r="AF74" s="190"/>
      <c r="AG74" s="190"/>
      <c r="AH74" s="190"/>
      <c r="AI74" s="190"/>
      <c r="AJ74" s="190"/>
      <c r="AK74" s="190"/>
      <c r="AL74" s="190"/>
      <c r="AM74" s="190"/>
      <c r="AN74" s="190"/>
      <c r="AO74" s="190"/>
      <c r="AP74" s="190"/>
      <c r="AQ74" s="190"/>
      <c r="AR74" s="190"/>
      <c r="AS74" s="190"/>
      <c r="AT74" s="190"/>
      <c r="AU74" s="190"/>
      <c r="AV74" s="190"/>
      <c r="AW74" s="190"/>
      <c r="AX74" s="190"/>
      <c r="AY74" s="190"/>
      <c r="AZ74" s="190"/>
      <c r="BA74" s="190"/>
      <c r="BB74" s="190"/>
      <c r="BC74" s="190"/>
      <c r="BD74" s="190"/>
      <c r="BE74" s="190"/>
      <c r="BF74" s="190"/>
      <c r="BG74" s="190"/>
      <c r="BH74" s="190"/>
      <c r="BI74" s="190"/>
      <c r="BJ74" s="190"/>
      <c r="BK74" s="190"/>
      <c r="BL74" s="190"/>
      <c r="BM74" s="190"/>
      <c r="BN74" s="190"/>
      <c r="BO74" s="190"/>
      <c r="BP74" s="190"/>
      <c r="BQ74" s="190"/>
      <c r="BR74" s="190"/>
      <c r="BS74" s="190"/>
      <c r="BT74" s="190"/>
      <c r="BU74" s="190"/>
      <c r="BV74" s="190"/>
      <c r="BW74" s="190"/>
      <c r="BX74" s="190"/>
      <c r="BY74" s="190"/>
      <c r="BZ74" s="190"/>
      <c r="CA74" s="190"/>
      <c r="CB74" s="190"/>
      <c r="CC74" s="190"/>
      <c r="CD74" s="190"/>
      <c r="CE74" s="190"/>
      <c r="CF74" s="190"/>
      <c r="CG74" s="190"/>
      <c r="CH74" s="190"/>
      <c r="CI74" s="190"/>
      <c r="CJ74" s="190"/>
      <c r="CK74" s="190"/>
      <c r="CL74" s="190"/>
      <c r="CM74" s="190"/>
      <c r="CN74" s="190"/>
      <c r="CO74" s="190"/>
      <c r="CP74" s="190"/>
      <c r="CQ74" s="190"/>
      <c r="CR74" s="190"/>
      <c r="CS74" s="190"/>
      <c r="CT74" s="190"/>
      <c r="CU74" s="190"/>
      <c r="CV74" s="190"/>
      <c r="CW74" s="190"/>
      <c r="CX74" s="190"/>
      <c r="CY74" s="190"/>
      <c r="CZ74" s="190"/>
      <c r="DA74" s="190"/>
      <c r="DB74" s="190"/>
      <c r="DC74" s="190"/>
      <c r="DD74" s="190"/>
      <c r="DE74" s="190"/>
      <c r="DF74" s="190"/>
      <c r="DG74" s="190"/>
      <c r="DH74" s="190"/>
      <c r="DI74" s="190"/>
      <c r="DJ74" s="190"/>
      <c r="DK74" s="190"/>
      <c r="DL74" s="190"/>
      <c r="DM74" s="190"/>
      <c r="DN74" s="190"/>
      <c r="DO74" s="190"/>
      <c r="DP74" s="190"/>
      <c r="DQ74" s="190"/>
      <c r="DR74" s="190"/>
      <c r="DS74" s="190"/>
      <c r="DT74" s="190"/>
      <c r="DU74" s="190"/>
      <c r="DV74" s="190"/>
    </row>
    <row r="75" spans="1:126" x14ac:dyDescent="0.25"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0"/>
      <c r="Y75" s="190"/>
      <c r="Z75" s="190"/>
      <c r="AA75" s="190"/>
      <c r="AB75" s="190"/>
      <c r="AC75" s="190"/>
      <c r="AD75" s="190"/>
      <c r="AE75" s="190"/>
      <c r="AF75" s="190"/>
      <c r="AG75" s="190"/>
      <c r="AH75" s="190"/>
      <c r="AI75" s="190"/>
      <c r="AJ75" s="190"/>
      <c r="AK75" s="190"/>
      <c r="AL75" s="190"/>
      <c r="AM75" s="190"/>
      <c r="AN75" s="190"/>
      <c r="AO75" s="190"/>
      <c r="AP75" s="190"/>
      <c r="AQ75" s="190"/>
      <c r="AR75" s="190"/>
      <c r="AS75" s="190"/>
      <c r="AT75" s="190"/>
      <c r="AU75" s="190"/>
      <c r="AV75" s="190"/>
      <c r="AW75" s="190"/>
      <c r="AX75" s="190"/>
      <c r="AY75" s="190"/>
      <c r="AZ75" s="190"/>
      <c r="BA75" s="190"/>
      <c r="BB75" s="190"/>
      <c r="BC75" s="190"/>
      <c r="BD75" s="190"/>
      <c r="BE75" s="190"/>
      <c r="BF75" s="190"/>
      <c r="BG75" s="190"/>
      <c r="BH75" s="190"/>
      <c r="BI75" s="190"/>
      <c r="BJ75" s="190"/>
      <c r="BK75" s="190"/>
      <c r="BL75" s="190"/>
      <c r="BM75" s="190"/>
      <c r="BN75" s="190"/>
      <c r="BO75" s="190"/>
      <c r="BP75" s="190"/>
      <c r="BQ75" s="190"/>
      <c r="BR75" s="190"/>
      <c r="BS75" s="190"/>
      <c r="BT75" s="190"/>
      <c r="BU75" s="190"/>
      <c r="BV75" s="190"/>
      <c r="BW75" s="190"/>
      <c r="BX75" s="190"/>
      <c r="BY75" s="190"/>
      <c r="BZ75" s="190"/>
      <c r="CA75" s="190"/>
      <c r="CB75" s="190"/>
      <c r="CC75" s="190"/>
      <c r="CD75" s="190"/>
      <c r="CE75" s="190"/>
      <c r="CF75" s="190"/>
      <c r="CG75" s="190"/>
      <c r="CH75" s="190"/>
      <c r="CI75" s="190"/>
      <c r="CJ75" s="190"/>
      <c r="CK75" s="190"/>
      <c r="CL75" s="190"/>
      <c r="CM75" s="190"/>
      <c r="CN75" s="190"/>
      <c r="CO75" s="190"/>
      <c r="CP75" s="190"/>
      <c r="CQ75" s="190"/>
      <c r="CR75" s="190"/>
      <c r="CS75" s="190"/>
      <c r="CT75" s="190"/>
      <c r="CU75" s="190"/>
      <c r="CV75" s="190"/>
      <c r="CW75" s="190"/>
      <c r="CX75" s="190"/>
      <c r="CY75" s="190"/>
      <c r="CZ75" s="190"/>
      <c r="DA75" s="190"/>
      <c r="DB75" s="190"/>
      <c r="DC75" s="190"/>
      <c r="DD75" s="190"/>
      <c r="DE75" s="190"/>
      <c r="DF75" s="190"/>
      <c r="DG75" s="190"/>
      <c r="DH75" s="190"/>
      <c r="DI75" s="190"/>
      <c r="DJ75" s="190"/>
      <c r="DK75" s="190"/>
      <c r="DL75" s="190"/>
      <c r="DM75" s="190"/>
      <c r="DN75" s="190"/>
      <c r="DO75" s="190"/>
      <c r="DP75" s="190"/>
      <c r="DQ75" s="190"/>
      <c r="DR75" s="190"/>
      <c r="DS75" s="190"/>
      <c r="DT75" s="190"/>
      <c r="DU75" s="190"/>
      <c r="DV75" s="190"/>
    </row>
    <row r="76" spans="1:126" x14ac:dyDescent="0.25">
      <c r="B76" s="776" t="s">
        <v>246</v>
      </c>
      <c r="C76" s="777"/>
      <c r="D76" s="777"/>
      <c r="E76" s="777"/>
      <c r="F76" s="777"/>
      <c r="G76" s="777"/>
      <c r="H76" s="777"/>
      <c r="I76" s="777"/>
      <c r="J76" s="777"/>
      <c r="K76" s="777"/>
      <c r="L76" s="778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0"/>
      <c r="Y76" s="190"/>
      <c r="Z76" s="190"/>
      <c r="AA76" s="190"/>
      <c r="AB76" s="190"/>
      <c r="AC76" s="190"/>
      <c r="AD76" s="190"/>
      <c r="AE76" s="190"/>
      <c r="AF76" s="190"/>
      <c r="AG76" s="190"/>
      <c r="AH76" s="190"/>
      <c r="AI76" s="190"/>
      <c r="AJ76" s="190"/>
      <c r="AK76" s="190"/>
      <c r="AL76" s="190"/>
      <c r="AM76" s="190"/>
      <c r="AN76" s="190"/>
      <c r="AO76" s="190"/>
      <c r="AP76" s="190"/>
      <c r="AQ76" s="190"/>
      <c r="AR76" s="190"/>
      <c r="AS76" s="190"/>
      <c r="AT76" s="190"/>
      <c r="AU76" s="190"/>
      <c r="AV76" s="190"/>
      <c r="AW76" s="190"/>
      <c r="AX76" s="190"/>
      <c r="AY76" s="190"/>
      <c r="AZ76" s="190"/>
      <c r="BA76" s="190"/>
      <c r="BB76" s="190"/>
      <c r="BC76" s="190"/>
      <c r="BD76" s="190"/>
      <c r="BE76" s="190"/>
      <c r="BF76" s="190"/>
      <c r="BG76" s="190"/>
      <c r="BH76" s="190"/>
      <c r="BI76" s="190"/>
      <c r="BJ76" s="190"/>
      <c r="BK76" s="190"/>
      <c r="BL76" s="190"/>
      <c r="BM76" s="190"/>
      <c r="BN76" s="190"/>
      <c r="BO76" s="190"/>
      <c r="BP76" s="190"/>
      <c r="BQ76" s="190"/>
      <c r="BR76" s="190"/>
      <c r="BS76" s="190"/>
      <c r="BT76" s="190"/>
      <c r="BU76" s="190"/>
      <c r="BV76" s="190"/>
      <c r="BW76" s="190"/>
      <c r="BX76" s="190"/>
      <c r="BY76" s="190"/>
      <c r="BZ76" s="190"/>
      <c r="CA76" s="190"/>
      <c r="CB76" s="190"/>
      <c r="CC76" s="190"/>
      <c r="CD76" s="190"/>
      <c r="CE76" s="190"/>
      <c r="CF76" s="190"/>
      <c r="CG76" s="190"/>
      <c r="CH76" s="190"/>
      <c r="CI76" s="190"/>
      <c r="CJ76" s="190"/>
      <c r="CK76" s="190"/>
      <c r="CL76" s="190"/>
      <c r="CM76" s="190"/>
      <c r="CN76" s="190"/>
      <c r="CO76" s="190"/>
      <c r="CP76" s="190"/>
      <c r="CQ76" s="190"/>
      <c r="CR76" s="190"/>
      <c r="CS76" s="190"/>
      <c r="CT76" s="190"/>
      <c r="CU76" s="190"/>
      <c r="CV76" s="190"/>
      <c r="CW76" s="190"/>
      <c r="CX76" s="190"/>
      <c r="CY76" s="190"/>
      <c r="CZ76" s="190"/>
      <c r="DA76" s="190"/>
      <c r="DB76" s="190"/>
      <c r="DC76" s="190"/>
      <c r="DD76" s="190"/>
      <c r="DE76" s="190"/>
      <c r="DF76" s="190"/>
      <c r="DG76" s="190"/>
      <c r="DH76" s="190"/>
      <c r="DI76" s="190"/>
      <c r="DJ76" s="190"/>
      <c r="DK76" s="190"/>
      <c r="DL76" s="190"/>
      <c r="DM76" s="190"/>
      <c r="DN76" s="190"/>
      <c r="DO76" s="190"/>
      <c r="DP76" s="190"/>
      <c r="DQ76" s="190"/>
      <c r="DR76" s="190"/>
      <c r="DS76" s="190"/>
      <c r="DT76" s="190"/>
      <c r="DU76" s="190"/>
      <c r="DV76" s="190"/>
    </row>
    <row r="77" spans="1:126" x14ac:dyDescent="0.25"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0"/>
      <c r="Z77" s="190"/>
      <c r="AA77" s="190"/>
      <c r="AB77" s="190"/>
      <c r="AC77" s="190"/>
      <c r="AD77" s="190"/>
      <c r="AE77" s="190"/>
      <c r="AF77" s="190"/>
      <c r="AG77" s="190"/>
      <c r="AH77" s="190"/>
      <c r="AI77" s="190"/>
      <c r="AJ77" s="190"/>
      <c r="AK77" s="190"/>
      <c r="AL77" s="190"/>
      <c r="AM77" s="190"/>
      <c r="AN77" s="190"/>
      <c r="AO77" s="190"/>
      <c r="AP77" s="190"/>
      <c r="AQ77" s="190"/>
      <c r="AR77" s="190"/>
      <c r="AS77" s="190"/>
      <c r="AT77" s="190"/>
      <c r="AU77" s="190"/>
      <c r="AV77" s="190"/>
      <c r="AW77" s="190"/>
      <c r="AX77" s="190"/>
      <c r="AY77" s="190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0"/>
      <c r="BZ77" s="190"/>
      <c r="CA77" s="190"/>
      <c r="CB77" s="190"/>
      <c r="CC77" s="190"/>
      <c r="CD77" s="190"/>
      <c r="CE77" s="190"/>
      <c r="CF77" s="190"/>
      <c r="CG77" s="190"/>
      <c r="CH77" s="190"/>
      <c r="CI77" s="190"/>
      <c r="CJ77" s="190"/>
      <c r="CK77" s="190"/>
      <c r="CL77" s="190"/>
      <c r="CM77" s="190"/>
      <c r="CN77" s="190"/>
      <c r="CO77" s="190"/>
      <c r="CP77" s="190"/>
      <c r="CQ77" s="190"/>
      <c r="CR77" s="190"/>
      <c r="CS77" s="190"/>
      <c r="CT77" s="190"/>
      <c r="CU77" s="190"/>
      <c r="CV77" s="190"/>
      <c r="CW77" s="190"/>
      <c r="CX77" s="190"/>
      <c r="CY77" s="190"/>
      <c r="CZ77" s="190"/>
      <c r="DA77" s="190"/>
      <c r="DB77" s="190"/>
      <c r="DC77" s="190"/>
      <c r="DD77" s="190"/>
      <c r="DE77" s="190"/>
      <c r="DF77" s="190"/>
      <c r="DG77" s="190"/>
      <c r="DH77" s="190"/>
      <c r="DI77" s="190"/>
      <c r="DJ77" s="190"/>
      <c r="DK77" s="190"/>
      <c r="DL77" s="190"/>
      <c r="DM77" s="190"/>
      <c r="DN77" s="190"/>
      <c r="DO77" s="190"/>
      <c r="DP77" s="190"/>
      <c r="DQ77" s="190"/>
      <c r="DR77" s="190"/>
      <c r="DS77" s="190"/>
      <c r="DT77" s="190"/>
      <c r="DU77" s="190"/>
      <c r="DV77" s="190"/>
    </row>
    <row r="78" spans="1:126" x14ac:dyDescent="0.25">
      <c r="A78" s="300" t="s">
        <v>639</v>
      </c>
      <c r="B78" s="776" t="s">
        <v>247</v>
      </c>
      <c r="C78" s="778"/>
      <c r="E78" s="838" t="s">
        <v>167</v>
      </c>
      <c r="F78" s="839"/>
      <c r="G78" s="196" t="s">
        <v>168</v>
      </c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0"/>
      <c r="AI78" s="190"/>
      <c r="AJ78" s="190"/>
      <c r="AK78" s="190"/>
      <c r="AL78" s="190"/>
      <c r="AM78" s="190"/>
      <c r="AN78" s="190"/>
      <c r="AO78" s="190"/>
      <c r="AP78" s="190"/>
      <c r="AQ78" s="190"/>
      <c r="AR78" s="190"/>
      <c r="AS78" s="190"/>
      <c r="AT78" s="190"/>
      <c r="AU78" s="190"/>
      <c r="AV78" s="190"/>
      <c r="AW78" s="190"/>
      <c r="AX78" s="190"/>
      <c r="AY78" s="190"/>
      <c r="AZ78" s="190"/>
      <c r="BA78" s="190"/>
      <c r="BB78" s="190"/>
      <c r="BC78" s="190"/>
      <c r="BD78" s="190"/>
      <c r="BE78" s="190"/>
      <c r="BF78" s="190"/>
      <c r="BG78" s="190"/>
      <c r="BH78" s="190"/>
      <c r="BI78" s="190"/>
      <c r="BJ78" s="190"/>
      <c r="BK78" s="190"/>
      <c r="BL78" s="190"/>
      <c r="BM78" s="190"/>
      <c r="BN78" s="190"/>
      <c r="BO78" s="190"/>
      <c r="BP78" s="190"/>
      <c r="BQ78" s="190"/>
      <c r="BR78" s="190"/>
      <c r="BS78" s="190"/>
      <c r="BT78" s="190"/>
      <c r="BU78" s="190"/>
      <c r="BV78" s="190"/>
      <c r="BW78" s="190"/>
      <c r="BX78" s="190"/>
      <c r="BY78" s="190"/>
      <c r="BZ78" s="190"/>
      <c r="CA78" s="190"/>
      <c r="CB78" s="190"/>
      <c r="CC78" s="190"/>
      <c r="CD78" s="190"/>
      <c r="CE78" s="190"/>
      <c r="CF78" s="190"/>
      <c r="CG78" s="190"/>
      <c r="CH78" s="190"/>
      <c r="CI78" s="190"/>
      <c r="CJ78" s="190"/>
      <c r="CK78" s="190"/>
      <c r="CL78" s="190"/>
      <c r="CM78" s="190"/>
      <c r="CN78" s="190"/>
      <c r="CO78" s="190"/>
      <c r="CP78" s="190"/>
      <c r="CQ78" s="190"/>
      <c r="CR78" s="190"/>
      <c r="CS78" s="190"/>
      <c r="CT78" s="190"/>
      <c r="CU78" s="190"/>
      <c r="CV78" s="190"/>
      <c r="CW78" s="190"/>
      <c r="CX78" s="190"/>
      <c r="CY78" s="190"/>
      <c r="CZ78" s="190"/>
      <c r="DA78" s="190"/>
      <c r="DB78" s="190"/>
      <c r="DC78" s="190"/>
      <c r="DD78" s="190"/>
      <c r="DE78" s="190"/>
      <c r="DF78" s="190"/>
      <c r="DG78" s="190"/>
      <c r="DH78" s="190"/>
      <c r="DI78" s="190"/>
      <c r="DJ78" s="190"/>
      <c r="DK78" s="190"/>
      <c r="DL78" s="190"/>
      <c r="DM78" s="190"/>
      <c r="DN78" s="190"/>
      <c r="DO78" s="190"/>
      <c r="DP78" s="190"/>
      <c r="DQ78" s="190"/>
      <c r="DR78" s="190"/>
      <c r="DS78" s="190"/>
      <c r="DT78" s="190"/>
      <c r="DU78" s="190"/>
      <c r="DV78" s="190"/>
    </row>
    <row r="79" spans="1:126" x14ac:dyDescent="0.25"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0"/>
      <c r="Z79" s="190"/>
      <c r="AA79" s="190"/>
      <c r="AB79" s="190"/>
      <c r="AC79" s="190"/>
      <c r="AD79" s="190"/>
      <c r="AE79" s="190"/>
      <c r="AF79" s="190"/>
      <c r="AG79" s="190"/>
      <c r="AH79" s="190"/>
      <c r="AI79" s="190"/>
      <c r="AJ79" s="190"/>
      <c r="AK79" s="190"/>
      <c r="AL79" s="190"/>
      <c r="AM79" s="190"/>
      <c r="AN79" s="190"/>
      <c r="AO79" s="190"/>
      <c r="AP79" s="190"/>
      <c r="AQ79" s="190"/>
      <c r="AR79" s="190"/>
      <c r="AS79" s="190"/>
      <c r="AT79" s="190"/>
      <c r="AU79" s="190"/>
      <c r="AV79" s="190"/>
      <c r="AW79" s="190"/>
      <c r="AX79" s="190"/>
      <c r="AY79" s="190"/>
      <c r="AZ79" s="190"/>
      <c r="BA79" s="190"/>
      <c r="BB79" s="190"/>
      <c r="BC79" s="190"/>
      <c r="BD79" s="190"/>
      <c r="BE79" s="190"/>
      <c r="BF79" s="190"/>
      <c r="BG79" s="190"/>
      <c r="BH79" s="190"/>
      <c r="BI79" s="190"/>
      <c r="BJ79" s="190"/>
      <c r="BK79" s="190"/>
      <c r="BL79" s="190"/>
      <c r="BM79" s="190"/>
      <c r="BN79" s="190"/>
      <c r="BO79" s="190"/>
      <c r="BP79" s="190"/>
      <c r="BQ79" s="190"/>
      <c r="BR79" s="190"/>
      <c r="BS79" s="190"/>
      <c r="BT79" s="190"/>
      <c r="BU79" s="190"/>
      <c r="BV79" s="190"/>
      <c r="BW79" s="190"/>
      <c r="BX79" s="190"/>
      <c r="BY79" s="190"/>
      <c r="BZ79" s="190"/>
      <c r="CA79" s="190"/>
      <c r="CB79" s="190"/>
      <c r="CC79" s="190"/>
      <c r="CD79" s="190"/>
      <c r="CE79" s="190"/>
      <c r="CF79" s="190"/>
      <c r="CG79" s="190"/>
      <c r="CH79" s="190"/>
      <c r="CI79" s="190"/>
      <c r="CJ79" s="190"/>
      <c r="CK79" s="190"/>
      <c r="CL79" s="190"/>
      <c r="CM79" s="190"/>
      <c r="CN79" s="190"/>
      <c r="CO79" s="190"/>
      <c r="CP79" s="190"/>
      <c r="CQ79" s="190"/>
      <c r="CR79" s="190"/>
      <c r="CS79" s="190"/>
      <c r="CT79" s="190"/>
      <c r="CU79" s="190"/>
      <c r="CV79" s="190"/>
      <c r="CW79" s="190"/>
      <c r="CX79" s="190"/>
      <c r="CY79" s="190"/>
      <c r="CZ79" s="190"/>
      <c r="DA79" s="190"/>
      <c r="DB79" s="190"/>
      <c r="DC79" s="190"/>
      <c r="DD79" s="190"/>
      <c r="DE79" s="190"/>
      <c r="DF79" s="190"/>
      <c r="DG79" s="190"/>
      <c r="DH79" s="190"/>
      <c r="DI79" s="190"/>
      <c r="DJ79" s="190"/>
      <c r="DK79" s="190"/>
      <c r="DL79" s="190"/>
      <c r="DM79" s="190"/>
      <c r="DN79" s="190"/>
      <c r="DO79" s="190"/>
      <c r="DP79" s="190"/>
      <c r="DQ79" s="190"/>
      <c r="DR79" s="190"/>
      <c r="DS79" s="190"/>
      <c r="DT79" s="190"/>
      <c r="DU79" s="190"/>
      <c r="DV79" s="190"/>
    </row>
    <row r="80" spans="1:126" ht="38.25" x14ac:dyDescent="0.25">
      <c r="B80" s="300" t="s">
        <v>248</v>
      </c>
      <c r="C80" s="194" t="s">
        <v>169</v>
      </c>
      <c r="D80" s="196" t="s">
        <v>249</v>
      </c>
      <c r="E80" s="195" t="s">
        <v>250</v>
      </c>
      <c r="F80" s="195" t="s">
        <v>251</v>
      </c>
      <c r="G80" s="198" t="s">
        <v>552</v>
      </c>
      <c r="M80" s="190"/>
      <c r="N80" s="190"/>
      <c r="O80" s="190"/>
      <c r="P80" s="190"/>
      <c r="Q80" s="12" t="s">
        <v>248</v>
      </c>
      <c r="R80" s="207" t="s">
        <v>169</v>
      </c>
      <c r="S80" s="201" t="s">
        <v>249</v>
      </c>
      <c r="T80" s="198" t="s">
        <v>252</v>
      </c>
      <c r="U80" s="198" t="s">
        <v>251</v>
      </c>
      <c r="V80" s="198" t="s">
        <v>551</v>
      </c>
      <c r="W80" s="190"/>
      <c r="X80" s="190"/>
      <c r="Y80" s="190"/>
      <c r="Z80" s="190"/>
      <c r="AA80" s="190"/>
      <c r="AB80" s="190"/>
      <c r="AC80" s="12" t="s">
        <v>248</v>
      </c>
      <c r="AD80" s="207" t="s">
        <v>169</v>
      </c>
      <c r="AE80" s="201" t="s">
        <v>249</v>
      </c>
      <c r="AF80" s="198" t="s">
        <v>252</v>
      </c>
      <c r="AG80" s="198" t="s">
        <v>251</v>
      </c>
      <c r="AH80" s="198" t="s">
        <v>550</v>
      </c>
      <c r="AI80" s="190"/>
      <c r="AJ80" s="190"/>
      <c r="AK80" s="190"/>
      <c r="AL80" s="190"/>
      <c r="AM80" s="190"/>
      <c r="AN80" s="190"/>
      <c r="AO80" s="500" t="s">
        <v>248</v>
      </c>
      <c r="AP80" s="207" t="s">
        <v>169</v>
      </c>
      <c r="AQ80" s="201" t="s">
        <v>249</v>
      </c>
      <c r="AR80" s="198" t="s">
        <v>252</v>
      </c>
      <c r="AS80" s="198" t="s">
        <v>251</v>
      </c>
      <c r="AT80" s="198" t="s">
        <v>549</v>
      </c>
      <c r="AU80" s="190"/>
      <c r="AV80" s="190"/>
      <c r="AW80" s="190"/>
      <c r="AX80" s="190"/>
      <c r="AY80" s="190"/>
      <c r="AZ80" s="190"/>
      <c r="BA80" s="500" t="s">
        <v>248</v>
      </c>
      <c r="BB80" s="12" t="s">
        <v>169</v>
      </c>
      <c r="BC80" s="207" t="s">
        <v>249</v>
      </c>
      <c r="BD80" s="198" t="s">
        <v>252</v>
      </c>
      <c r="BE80" s="198" t="s">
        <v>251</v>
      </c>
      <c r="BF80" s="198" t="s">
        <v>548</v>
      </c>
      <c r="BG80" s="190"/>
      <c r="BH80" s="190"/>
      <c r="BI80" s="190"/>
      <c r="BJ80" s="190"/>
      <c r="BK80" s="190"/>
      <c r="BL80" s="190"/>
      <c r="BM80" s="500" t="s">
        <v>248</v>
      </c>
      <c r="BN80" s="12" t="s">
        <v>169</v>
      </c>
      <c r="BO80" s="207" t="s">
        <v>249</v>
      </c>
      <c r="BP80" s="198" t="s">
        <v>252</v>
      </c>
      <c r="BQ80" s="198" t="s">
        <v>251</v>
      </c>
      <c r="BR80" s="198" t="s">
        <v>547</v>
      </c>
      <c r="BS80" s="190"/>
      <c r="BT80" s="190"/>
      <c r="BU80" s="190"/>
      <c r="BV80" s="190"/>
      <c r="BW80" s="190"/>
      <c r="BX80" s="190"/>
      <c r="BY80" s="500" t="s">
        <v>248</v>
      </c>
      <c r="BZ80" s="207" t="s">
        <v>169</v>
      </c>
      <c r="CA80" s="201" t="s">
        <v>249</v>
      </c>
      <c r="CB80" s="198" t="s">
        <v>252</v>
      </c>
      <c r="CC80" s="198" t="s">
        <v>251</v>
      </c>
      <c r="CD80" s="198" t="s">
        <v>546</v>
      </c>
      <c r="CE80" s="190"/>
      <c r="CF80" s="190"/>
      <c r="CG80" s="190"/>
      <c r="CH80" s="190"/>
      <c r="CI80" s="190"/>
      <c r="CJ80" s="190"/>
      <c r="CK80" s="500" t="s">
        <v>248</v>
      </c>
      <c r="CL80" s="207" t="s">
        <v>169</v>
      </c>
      <c r="CM80" s="201" t="s">
        <v>249</v>
      </c>
      <c r="CN80" s="198" t="s">
        <v>252</v>
      </c>
      <c r="CO80" s="198" t="s">
        <v>251</v>
      </c>
      <c r="CP80" s="198" t="s">
        <v>545</v>
      </c>
      <c r="CQ80" s="190"/>
      <c r="CR80" s="190"/>
      <c r="CS80" s="190"/>
      <c r="CT80" s="190"/>
      <c r="CU80" s="190"/>
      <c r="CV80" s="190"/>
      <c r="CW80" s="500" t="s">
        <v>248</v>
      </c>
      <c r="CX80" s="207" t="s">
        <v>169</v>
      </c>
      <c r="CY80" s="201" t="s">
        <v>249</v>
      </c>
      <c r="CZ80" s="198" t="s">
        <v>252</v>
      </c>
      <c r="DA80" s="198" t="s">
        <v>251</v>
      </c>
      <c r="DB80" s="198" t="s">
        <v>544</v>
      </c>
      <c r="DC80" s="190"/>
      <c r="DD80" s="190"/>
      <c r="DE80" s="190"/>
      <c r="DF80" s="190"/>
      <c r="DG80" s="190"/>
      <c r="DH80" s="190"/>
      <c r="DI80" s="500" t="s">
        <v>248</v>
      </c>
      <c r="DJ80" s="207" t="s">
        <v>169</v>
      </c>
      <c r="DK80" s="201" t="s">
        <v>249</v>
      </c>
      <c r="DL80" s="198" t="s">
        <v>252</v>
      </c>
      <c r="DM80" s="198" t="s">
        <v>251</v>
      </c>
      <c r="DN80" s="198" t="s">
        <v>543</v>
      </c>
      <c r="DO80" s="190"/>
      <c r="DP80" s="190"/>
      <c r="DQ80" s="190"/>
      <c r="DR80" s="190"/>
      <c r="DS80" s="190"/>
      <c r="DT80" s="190"/>
      <c r="DU80" s="190"/>
      <c r="DV80" s="190"/>
    </row>
    <row r="81" spans="2:126" x14ac:dyDescent="0.25">
      <c r="B81" s="475" t="s">
        <v>253</v>
      </c>
      <c r="C81" s="184">
        <v>1</v>
      </c>
      <c r="D81" s="199" t="s">
        <v>254</v>
      </c>
      <c r="E81" s="184">
        <v>6000</v>
      </c>
      <c r="F81" s="184">
        <f t="shared" ref="F81:F93" si="46">E81*C81</f>
        <v>6000</v>
      </c>
      <c r="G81" s="184">
        <f t="shared" ref="G81:G93" si="47">F81*12</f>
        <v>72000</v>
      </c>
      <c r="M81" s="190"/>
      <c r="N81" s="190"/>
      <c r="O81" s="190"/>
      <c r="P81" s="190"/>
      <c r="Q81" s="440" t="s">
        <v>253</v>
      </c>
      <c r="R81" s="433">
        <v>1</v>
      </c>
      <c r="S81" s="197" t="s">
        <v>254</v>
      </c>
      <c r="T81" s="191">
        <v>6000</v>
      </c>
      <c r="U81" s="433">
        <f t="shared" ref="U81:U93" si="48">T81*R81</f>
        <v>6000</v>
      </c>
      <c r="V81" s="433">
        <f t="shared" ref="V81:V93" si="49">U81*12</f>
        <v>72000</v>
      </c>
      <c r="W81" s="190"/>
      <c r="X81" s="190"/>
      <c r="Y81" s="190"/>
      <c r="Z81" s="190"/>
      <c r="AA81" s="190"/>
      <c r="AB81" s="190"/>
      <c r="AC81" s="445" t="s">
        <v>253</v>
      </c>
      <c r="AD81" s="433">
        <v>1</v>
      </c>
      <c r="AE81" s="197" t="s">
        <v>254</v>
      </c>
      <c r="AF81" s="191">
        <v>6000</v>
      </c>
      <c r="AG81" s="433">
        <v>6000</v>
      </c>
      <c r="AH81" s="433">
        <f t="shared" ref="AH81:AH93" si="50">AG81*12</f>
        <v>72000</v>
      </c>
      <c r="AI81" s="190"/>
      <c r="AJ81" s="190"/>
      <c r="AK81" s="190"/>
      <c r="AL81" s="190"/>
      <c r="AM81" s="190"/>
      <c r="AN81" s="190"/>
      <c r="AO81" s="444" t="s">
        <v>253</v>
      </c>
      <c r="AP81" s="441">
        <v>1</v>
      </c>
      <c r="AQ81" s="197" t="s">
        <v>254</v>
      </c>
      <c r="AR81" s="191">
        <v>6000</v>
      </c>
      <c r="AS81" s="433">
        <f t="shared" ref="AS81:AS93" si="51">AR81*AP81</f>
        <v>6000</v>
      </c>
      <c r="AT81" s="433">
        <f t="shared" ref="AT81:AT93" si="52">AS81*12</f>
        <v>72000</v>
      </c>
      <c r="AU81" s="190"/>
      <c r="AV81" s="190"/>
      <c r="AW81" s="190"/>
      <c r="AX81" s="190"/>
      <c r="AY81" s="190"/>
      <c r="AZ81" s="190"/>
      <c r="BA81" s="444" t="s">
        <v>253</v>
      </c>
      <c r="BB81" s="184">
        <v>1</v>
      </c>
      <c r="BC81" s="442" t="s">
        <v>254</v>
      </c>
      <c r="BD81" s="191">
        <v>6000</v>
      </c>
      <c r="BE81" s="433">
        <f t="shared" ref="BE81:BE93" si="53">BD81*BB81</f>
        <v>6000</v>
      </c>
      <c r="BF81" s="433">
        <f t="shared" ref="BF81:BF93" si="54">BE81*12</f>
        <v>72000</v>
      </c>
      <c r="BG81" s="190"/>
      <c r="BH81" s="190"/>
      <c r="BI81" s="190"/>
      <c r="BJ81" s="190"/>
      <c r="BK81" s="190"/>
      <c r="BL81" s="190"/>
      <c r="BM81" s="444" t="s">
        <v>253</v>
      </c>
      <c r="BN81" s="184">
        <v>1</v>
      </c>
      <c r="BO81" s="442" t="s">
        <v>254</v>
      </c>
      <c r="BP81" s="191">
        <v>6000</v>
      </c>
      <c r="BQ81" s="433">
        <f t="shared" ref="BQ81:BQ93" si="55">BP81*BN81</f>
        <v>6000</v>
      </c>
      <c r="BR81" s="433">
        <f t="shared" ref="BR81:BR93" si="56">BQ81*12</f>
        <v>72000</v>
      </c>
      <c r="BS81" s="190"/>
      <c r="BT81" s="190"/>
      <c r="BU81" s="190"/>
      <c r="BV81" s="190"/>
      <c r="BW81" s="190"/>
      <c r="BX81" s="190"/>
      <c r="BY81" s="445" t="s">
        <v>253</v>
      </c>
      <c r="BZ81" s="433">
        <v>1</v>
      </c>
      <c r="CA81" s="197" t="s">
        <v>254</v>
      </c>
      <c r="CB81" s="191">
        <v>6000</v>
      </c>
      <c r="CC81" s="433">
        <f t="shared" ref="CC81:CC93" si="57">CB81*BZ81</f>
        <v>6000</v>
      </c>
      <c r="CD81" s="433">
        <f t="shared" ref="CD81:CD93" si="58">CC81*12</f>
        <v>72000</v>
      </c>
      <c r="CE81" s="190"/>
      <c r="CF81" s="190"/>
      <c r="CG81" s="190"/>
      <c r="CH81" s="190"/>
      <c r="CI81" s="190"/>
      <c r="CJ81" s="190"/>
      <c r="CK81" s="445" t="s">
        <v>253</v>
      </c>
      <c r="CL81" s="433">
        <v>1</v>
      </c>
      <c r="CM81" s="197" t="s">
        <v>254</v>
      </c>
      <c r="CN81" s="191">
        <v>6000</v>
      </c>
      <c r="CO81" s="433">
        <f t="shared" ref="CO81:CO93" si="59">CN81*CL81</f>
        <v>6000</v>
      </c>
      <c r="CP81" s="433">
        <f t="shared" ref="CP81:CP93" si="60">CO81*12</f>
        <v>72000</v>
      </c>
      <c r="CQ81" s="190"/>
      <c r="CR81" s="190"/>
      <c r="CS81" s="190"/>
      <c r="CT81" s="190"/>
      <c r="CU81" s="190"/>
      <c r="CV81" s="190"/>
      <c r="CW81" s="445" t="s">
        <v>253</v>
      </c>
      <c r="CX81" s="433">
        <v>1</v>
      </c>
      <c r="CY81" s="197" t="s">
        <v>254</v>
      </c>
      <c r="CZ81" s="191">
        <v>6000</v>
      </c>
      <c r="DA81" s="433">
        <f t="shared" ref="DA81:DA93" si="61">CZ81*CX81</f>
        <v>6000</v>
      </c>
      <c r="DB81" s="433">
        <f t="shared" ref="DB81:DB93" si="62">DA81*12</f>
        <v>72000</v>
      </c>
      <c r="DC81" s="190"/>
      <c r="DD81" s="190"/>
      <c r="DE81" s="190"/>
      <c r="DF81" s="190"/>
      <c r="DG81" s="190"/>
      <c r="DH81" s="190"/>
      <c r="DI81" s="445" t="s">
        <v>253</v>
      </c>
      <c r="DJ81" s="433">
        <v>1</v>
      </c>
      <c r="DK81" s="197" t="s">
        <v>254</v>
      </c>
      <c r="DL81" s="191">
        <v>6000</v>
      </c>
      <c r="DM81" s="433">
        <f t="shared" ref="DM81:DM93" si="63">DL81*DJ81</f>
        <v>6000</v>
      </c>
      <c r="DN81" s="433">
        <f t="shared" ref="DN81:DN93" si="64">DM81*12</f>
        <v>72000</v>
      </c>
      <c r="DO81" s="190"/>
      <c r="DP81" s="190"/>
      <c r="DQ81" s="190"/>
      <c r="DR81" s="190"/>
      <c r="DS81" s="190"/>
      <c r="DT81" s="190"/>
      <c r="DU81" s="190"/>
      <c r="DV81" s="190"/>
    </row>
    <row r="82" spans="2:126" ht="38.25" x14ac:dyDescent="0.25">
      <c r="B82" s="476" t="s">
        <v>255</v>
      </c>
      <c r="C82" s="184">
        <v>1</v>
      </c>
      <c r="D82" s="199" t="s">
        <v>256</v>
      </c>
      <c r="E82" s="184">
        <v>2000</v>
      </c>
      <c r="F82" s="184">
        <f t="shared" si="46"/>
        <v>2000</v>
      </c>
      <c r="G82" s="184">
        <f t="shared" si="47"/>
        <v>24000</v>
      </c>
      <c r="M82" s="190"/>
      <c r="N82" s="190"/>
      <c r="O82" s="190"/>
      <c r="P82" s="190"/>
      <c r="Q82" s="307" t="s">
        <v>255</v>
      </c>
      <c r="R82" s="433">
        <v>1</v>
      </c>
      <c r="S82" s="197" t="s">
        <v>256</v>
      </c>
      <c r="T82" s="191">
        <v>2000</v>
      </c>
      <c r="U82" s="433">
        <f t="shared" si="48"/>
        <v>2000</v>
      </c>
      <c r="V82" s="433">
        <f t="shared" si="49"/>
        <v>24000</v>
      </c>
      <c r="W82" s="190"/>
      <c r="X82" s="190"/>
      <c r="Y82" s="190"/>
      <c r="Z82" s="190"/>
      <c r="AA82" s="190"/>
      <c r="AB82" s="190"/>
      <c r="AC82" s="443" t="s">
        <v>255</v>
      </c>
      <c r="AD82" s="433">
        <v>1</v>
      </c>
      <c r="AE82" s="197" t="s">
        <v>256</v>
      </c>
      <c r="AF82" s="191">
        <v>2000</v>
      </c>
      <c r="AG82" s="433">
        <f t="shared" ref="AG82:AG93" si="65">AF82*AD82</f>
        <v>2000</v>
      </c>
      <c r="AH82" s="433">
        <f t="shared" si="50"/>
        <v>24000</v>
      </c>
      <c r="AI82" s="190"/>
      <c r="AJ82" s="190"/>
      <c r="AK82" s="190"/>
      <c r="AL82" s="190"/>
      <c r="AM82" s="190"/>
      <c r="AN82" s="190"/>
      <c r="AO82" s="444" t="s">
        <v>255</v>
      </c>
      <c r="AP82" s="441">
        <v>1</v>
      </c>
      <c r="AQ82" s="197" t="s">
        <v>256</v>
      </c>
      <c r="AR82" s="191">
        <v>2000</v>
      </c>
      <c r="AS82" s="433">
        <f t="shared" si="51"/>
        <v>2000</v>
      </c>
      <c r="AT82" s="433">
        <f t="shared" si="52"/>
        <v>24000</v>
      </c>
      <c r="AU82" s="190"/>
      <c r="AV82" s="190"/>
      <c r="AW82" s="190"/>
      <c r="AX82" s="190"/>
      <c r="AY82" s="190"/>
      <c r="AZ82" s="190"/>
      <c r="BA82" s="444" t="s">
        <v>255</v>
      </c>
      <c r="BB82" s="184">
        <v>1</v>
      </c>
      <c r="BC82" s="442" t="s">
        <v>256</v>
      </c>
      <c r="BD82" s="191">
        <v>2000</v>
      </c>
      <c r="BE82" s="433">
        <f t="shared" si="53"/>
        <v>2000</v>
      </c>
      <c r="BF82" s="433">
        <f t="shared" si="54"/>
        <v>24000</v>
      </c>
      <c r="BG82" s="190"/>
      <c r="BH82" s="190"/>
      <c r="BI82" s="190"/>
      <c r="BJ82" s="190"/>
      <c r="BK82" s="190"/>
      <c r="BL82" s="190"/>
      <c r="BM82" s="445" t="s">
        <v>255</v>
      </c>
      <c r="BN82" s="446">
        <v>1</v>
      </c>
      <c r="BO82" s="197" t="s">
        <v>256</v>
      </c>
      <c r="BP82" s="191">
        <v>2000</v>
      </c>
      <c r="BQ82" s="433">
        <f t="shared" si="55"/>
        <v>2000</v>
      </c>
      <c r="BR82" s="433">
        <f t="shared" si="56"/>
        <v>24000</v>
      </c>
      <c r="BS82" s="190"/>
      <c r="BT82" s="190"/>
      <c r="BU82" s="190"/>
      <c r="BV82" s="190"/>
      <c r="BW82" s="190"/>
      <c r="BX82" s="190"/>
      <c r="BY82" s="443" t="s">
        <v>255</v>
      </c>
      <c r="BZ82" s="433">
        <v>1</v>
      </c>
      <c r="CA82" s="197" t="s">
        <v>256</v>
      </c>
      <c r="CB82" s="191">
        <v>2000</v>
      </c>
      <c r="CC82" s="433">
        <f t="shared" si="57"/>
        <v>2000</v>
      </c>
      <c r="CD82" s="433">
        <f t="shared" si="58"/>
        <v>24000</v>
      </c>
      <c r="CE82" s="190"/>
      <c r="CF82" s="190"/>
      <c r="CG82" s="190"/>
      <c r="CH82" s="190"/>
      <c r="CI82" s="190"/>
      <c r="CJ82" s="190"/>
      <c r="CK82" s="443" t="s">
        <v>255</v>
      </c>
      <c r="CL82" s="433">
        <v>1</v>
      </c>
      <c r="CM82" s="197" t="s">
        <v>256</v>
      </c>
      <c r="CN82" s="191">
        <v>2000</v>
      </c>
      <c r="CO82" s="433">
        <f t="shared" si="59"/>
        <v>2000</v>
      </c>
      <c r="CP82" s="433">
        <f t="shared" si="60"/>
        <v>24000</v>
      </c>
      <c r="CQ82" s="190"/>
      <c r="CR82" s="190"/>
      <c r="CS82" s="190"/>
      <c r="CT82" s="190"/>
      <c r="CU82" s="190"/>
      <c r="CV82" s="190"/>
      <c r="CW82" s="443" t="s">
        <v>255</v>
      </c>
      <c r="CX82" s="433">
        <v>1</v>
      </c>
      <c r="CY82" s="197" t="s">
        <v>256</v>
      </c>
      <c r="CZ82" s="191">
        <v>2000</v>
      </c>
      <c r="DA82" s="433">
        <f t="shared" si="61"/>
        <v>2000</v>
      </c>
      <c r="DB82" s="433">
        <f t="shared" si="62"/>
        <v>24000</v>
      </c>
      <c r="DC82" s="190"/>
      <c r="DD82" s="190"/>
      <c r="DE82" s="190"/>
      <c r="DF82" s="190"/>
      <c r="DG82" s="190"/>
      <c r="DH82" s="190"/>
      <c r="DI82" s="443" t="s">
        <v>255</v>
      </c>
      <c r="DJ82" s="433">
        <v>1</v>
      </c>
      <c r="DK82" s="197" t="s">
        <v>256</v>
      </c>
      <c r="DL82" s="191">
        <v>2000</v>
      </c>
      <c r="DM82" s="433">
        <f t="shared" si="63"/>
        <v>2000</v>
      </c>
      <c r="DN82" s="433">
        <f t="shared" si="64"/>
        <v>24000</v>
      </c>
      <c r="DO82" s="190"/>
      <c r="DP82" s="190"/>
      <c r="DQ82" s="190"/>
      <c r="DR82" s="190"/>
      <c r="DS82" s="190"/>
      <c r="DT82" s="190"/>
      <c r="DU82" s="190"/>
      <c r="DV82" s="190"/>
    </row>
    <row r="83" spans="2:126" ht="25.5" x14ac:dyDescent="0.25">
      <c r="B83" s="477" t="s">
        <v>257</v>
      </c>
      <c r="C83" s="184">
        <v>2</v>
      </c>
      <c r="D83" s="199" t="s">
        <v>258</v>
      </c>
      <c r="E83" s="184">
        <v>1200</v>
      </c>
      <c r="F83" s="184">
        <f t="shared" si="46"/>
        <v>2400</v>
      </c>
      <c r="G83" s="184">
        <f t="shared" si="47"/>
        <v>28800</v>
      </c>
      <c r="M83" s="190"/>
      <c r="N83" s="190"/>
      <c r="O83" s="190"/>
      <c r="P83" s="190"/>
      <c r="Q83" s="308" t="s">
        <v>257</v>
      </c>
      <c r="R83" s="447">
        <v>2</v>
      </c>
      <c r="S83" s="197" t="s">
        <v>258</v>
      </c>
      <c r="T83" s="191">
        <v>1200</v>
      </c>
      <c r="U83" s="433">
        <f t="shared" si="48"/>
        <v>2400</v>
      </c>
      <c r="V83" s="433">
        <f t="shared" si="49"/>
        <v>28800</v>
      </c>
      <c r="W83" s="190"/>
      <c r="X83" s="190"/>
      <c r="Y83" s="190"/>
      <c r="Z83" s="190"/>
      <c r="AA83" s="190"/>
      <c r="AB83" s="190"/>
      <c r="AC83" s="443" t="s">
        <v>257</v>
      </c>
      <c r="AD83" s="448">
        <v>2</v>
      </c>
      <c r="AE83" s="197" t="s">
        <v>258</v>
      </c>
      <c r="AF83" s="191">
        <v>1200</v>
      </c>
      <c r="AG83" s="433">
        <f t="shared" si="65"/>
        <v>2400</v>
      </c>
      <c r="AH83" s="433">
        <f t="shared" si="50"/>
        <v>28800</v>
      </c>
      <c r="AI83" s="190"/>
      <c r="AJ83" s="190"/>
      <c r="AK83" s="190"/>
      <c r="AL83" s="190"/>
      <c r="AM83" s="190"/>
      <c r="AN83" s="190"/>
      <c r="AO83" s="444" t="s">
        <v>257</v>
      </c>
      <c r="AP83" s="447">
        <v>2</v>
      </c>
      <c r="AQ83" s="197" t="s">
        <v>258</v>
      </c>
      <c r="AR83" s="191">
        <v>1200</v>
      </c>
      <c r="AS83" s="433">
        <f t="shared" si="51"/>
        <v>2400</v>
      </c>
      <c r="AT83" s="433">
        <f t="shared" si="52"/>
        <v>28800</v>
      </c>
      <c r="AU83" s="190"/>
      <c r="AV83" s="190"/>
      <c r="AW83" s="190"/>
      <c r="AX83" s="190"/>
      <c r="AY83" s="190"/>
      <c r="AZ83" s="190"/>
      <c r="BA83" s="444" t="s">
        <v>257</v>
      </c>
      <c r="BB83" s="449">
        <v>2</v>
      </c>
      <c r="BC83" s="442" t="s">
        <v>258</v>
      </c>
      <c r="BD83" s="191">
        <v>1200</v>
      </c>
      <c r="BE83" s="433">
        <f t="shared" si="53"/>
        <v>2400</v>
      </c>
      <c r="BF83" s="433">
        <f t="shared" si="54"/>
        <v>28800</v>
      </c>
      <c r="BG83" s="190"/>
      <c r="BH83" s="190"/>
      <c r="BI83" s="190"/>
      <c r="BJ83" s="190"/>
      <c r="BK83" s="190"/>
      <c r="BL83" s="190"/>
      <c r="BM83" s="443" t="s">
        <v>257</v>
      </c>
      <c r="BN83" s="448">
        <v>2</v>
      </c>
      <c r="BO83" s="197" t="s">
        <v>258</v>
      </c>
      <c r="BP83" s="191">
        <v>1200</v>
      </c>
      <c r="BQ83" s="433">
        <f t="shared" si="55"/>
        <v>2400</v>
      </c>
      <c r="BR83" s="433">
        <f t="shared" si="56"/>
        <v>28800</v>
      </c>
      <c r="BS83" s="190"/>
      <c r="BT83" s="190"/>
      <c r="BU83" s="190"/>
      <c r="BV83" s="190"/>
      <c r="BW83" s="190"/>
      <c r="BX83" s="190"/>
      <c r="BY83" s="443" t="s">
        <v>257</v>
      </c>
      <c r="BZ83" s="448">
        <v>2</v>
      </c>
      <c r="CA83" s="197" t="s">
        <v>258</v>
      </c>
      <c r="CB83" s="191">
        <v>1200</v>
      </c>
      <c r="CC83" s="433">
        <f t="shared" si="57"/>
        <v>2400</v>
      </c>
      <c r="CD83" s="433">
        <f t="shared" si="58"/>
        <v>28800</v>
      </c>
      <c r="CE83" s="190"/>
      <c r="CF83" s="190"/>
      <c r="CG83" s="190"/>
      <c r="CH83" s="190"/>
      <c r="CI83" s="190"/>
      <c r="CJ83" s="190"/>
      <c r="CK83" s="443" t="s">
        <v>257</v>
      </c>
      <c r="CL83" s="448">
        <v>2</v>
      </c>
      <c r="CM83" s="197" t="s">
        <v>258</v>
      </c>
      <c r="CN83" s="191">
        <v>1200</v>
      </c>
      <c r="CO83" s="433">
        <f t="shared" si="59"/>
        <v>2400</v>
      </c>
      <c r="CP83" s="433">
        <f t="shared" si="60"/>
        <v>28800</v>
      </c>
      <c r="CQ83" s="190"/>
      <c r="CR83" s="190"/>
      <c r="CS83" s="190"/>
      <c r="CT83" s="190"/>
      <c r="CU83" s="190"/>
      <c r="CV83" s="190"/>
      <c r="CW83" s="443" t="s">
        <v>257</v>
      </c>
      <c r="CX83" s="448">
        <v>2</v>
      </c>
      <c r="CY83" s="197" t="s">
        <v>258</v>
      </c>
      <c r="CZ83" s="191">
        <v>1200</v>
      </c>
      <c r="DA83" s="433">
        <f t="shared" si="61"/>
        <v>2400</v>
      </c>
      <c r="DB83" s="433">
        <f t="shared" si="62"/>
        <v>28800</v>
      </c>
      <c r="DC83" s="190"/>
      <c r="DD83" s="190"/>
      <c r="DE83" s="190"/>
      <c r="DF83" s="190"/>
      <c r="DG83" s="190"/>
      <c r="DH83" s="190"/>
      <c r="DI83" s="443" t="s">
        <v>257</v>
      </c>
      <c r="DJ83" s="448">
        <v>2</v>
      </c>
      <c r="DK83" s="197" t="s">
        <v>258</v>
      </c>
      <c r="DL83" s="191">
        <v>1200</v>
      </c>
      <c r="DM83" s="433">
        <f t="shared" si="63"/>
        <v>2400</v>
      </c>
      <c r="DN83" s="433">
        <f t="shared" si="64"/>
        <v>28800</v>
      </c>
      <c r="DO83" s="190"/>
      <c r="DP83" s="190"/>
      <c r="DQ83" s="190"/>
      <c r="DR83" s="190"/>
      <c r="DS83" s="190"/>
      <c r="DT83" s="190"/>
      <c r="DU83" s="190"/>
      <c r="DV83" s="190"/>
    </row>
    <row r="84" spans="2:126" ht="38.25" x14ac:dyDescent="0.25">
      <c r="B84" s="477" t="s">
        <v>608</v>
      </c>
      <c r="C84" s="184">
        <v>1</v>
      </c>
      <c r="D84" s="199" t="s">
        <v>559</v>
      </c>
      <c r="E84" s="184">
        <v>1500</v>
      </c>
      <c r="F84" s="184">
        <f t="shared" si="46"/>
        <v>1500</v>
      </c>
      <c r="G84" s="184">
        <f t="shared" si="47"/>
        <v>18000</v>
      </c>
      <c r="M84" s="190"/>
      <c r="N84" s="190"/>
      <c r="O84" s="190"/>
      <c r="P84" s="190"/>
      <c r="Q84" s="476" t="s">
        <v>608</v>
      </c>
      <c r="R84" s="184">
        <v>1</v>
      </c>
      <c r="S84" s="199" t="s">
        <v>559</v>
      </c>
      <c r="T84" s="184">
        <v>1500</v>
      </c>
      <c r="U84" s="184">
        <f t="shared" si="48"/>
        <v>1500</v>
      </c>
      <c r="V84" s="184">
        <f t="shared" si="49"/>
        <v>18000</v>
      </c>
      <c r="W84" s="190"/>
      <c r="X84" s="190"/>
      <c r="Y84" s="190"/>
      <c r="Z84" s="190"/>
      <c r="AA84" s="190"/>
      <c r="AB84" s="190"/>
      <c r="AC84" s="476" t="s">
        <v>608</v>
      </c>
      <c r="AD84" s="184">
        <v>1</v>
      </c>
      <c r="AE84" s="199" t="s">
        <v>559</v>
      </c>
      <c r="AF84" s="184">
        <v>1500</v>
      </c>
      <c r="AG84" s="184">
        <f t="shared" si="65"/>
        <v>1500</v>
      </c>
      <c r="AH84" s="184">
        <f t="shared" si="50"/>
        <v>18000</v>
      </c>
      <c r="AI84" s="190"/>
      <c r="AJ84" s="190"/>
      <c r="AK84" s="190"/>
      <c r="AL84" s="190"/>
      <c r="AM84" s="190"/>
      <c r="AN84" s="190"/>
      <c r="AO84" s="476" t="s">
        <v>608</v>
      </c>
      <c r="AP84" s="184">
        <v>1</v>
      </c>
      <c r="AQ84" s="199" t="s">
        <v>559</v>
      </c>
      <c r="AR84" s="184">
        <v>1500</v>
      </c>
      <c r="AS84" s="184">
        <f t="shared" si="51"/>
        <v>1500</v>
      </c>
      <c r="AT84" s="184">
        <f t="shared" si="52"/>
        <v>18000</v>
      </c>
      <c r="AU84" s="190"/>
      <c r="AV84" s="190"/>
      <c r="AW84" s="190"/>
      <c r="AX84" s="190"/>
      <c r="AY84" s="190"/>
      <c r="AZ84" s="190"/>
      <c r="BA84" s="476" t="s">
        <v>608</v>
      </c>
      <c r="BB84" s="184">
        <v>1</v>
      </c>
      <c r="BC84" s="199" t="s">
        <v>559</v>
      </c>
      <c r="BD84" s="184">
        <v>1500</v>
      </c>
      <c r="BE84" s="184">
        <f t="shared" si="53"/>
        <v>1500</v>
      </c>
      <c r="BF84" s="184">
        <f t="shared" si="54"/>
        <v>18000</v>
      </c>
      <c r="BG84" s="190"/>
      <c r="BH84" s="190"/>
      <c r="BI84" s="190"/>
      <c r="BJ84" s="190"/>
      <c r="BK84" s="190"/>
      <c r="BL84" s="190"/>
      <c r="BM84" s="476" t="s">
        <v>608</v>
      </c>
      <c r="BN84" s="184">
        <v>1</v>
      </c>
      <c r="BO84" s="199" t="s">
        <v>559</v>
      </c>
      <c r="BP84" s="184">
        <v>1500</v>
      </c>
      <c r="BQ84" s="184">
        <f t="shared" si="55"/>
        <v>1500</v>
      </c>
      <c r="BR84" s="184">
        <f t="shared" si="56"/>
        <v>18000</v>
      </c>
      <c r="BS84" s="190"/>
      <c r="BT84" s="190"/>
      <c r="BU84" s="190"/>
      <c r="BV84" s="190"/>
      <c r="BW84" s="190"/>
      <c r="BX84" s="190"/>
      <c r="BY84" s="476" t="s">
        <v>608</v>
      </c>
      <c r="BZ84" s="184">
        <v>1</v>
      </c>
      <c r="CA84" s="199" t="s">
        <v>559</v>
      </c>
      <c r="CB84" s="184">
        <v>1500</v>
      </c>
      <c r="CC84" s="184">
        <f t="shared" si="57"/>
        <v>1500</v>
      </c>
      <c r="CD84" s="184">
        <f t="shared" si="58"/>
        <v>18000</v>
      </c>
      <c r="CE84" s="190"/>
      <c r="CF84" s="190"/>
      <c r="CG84" s="190"/>
      <c r="CH84" s="190"/>
      <c r="CI84" s="190"/>
      <c r="CJ84" s="190"/>
      <c r="CK84" s="476" t="s">
        <v>608</v>
      </c>
      <c r="CL84" s="184">
        <v>1</v>
      </c>
      <c r="CM84" s="199" t="s">
        <v>559</v>
      </c>
      <c r="CN84" s="184">
        <v>1500</v>
      </c>
      <c r="CO84" s="184">
        <f t="shared" si="59"/>
        <v>1500</v>
      </c>
      <c r="CP84" s="184">
        <f t="shared" si="60"/>
        <v>18000</v>
      </c>
      <c r="CQ84" s="190"/>
      <c r="CR84" s="190"/>
      <c r="CS84" s="190"/>
      <c r="CT84" s="190"/>
      <c r="CU84" s="190"/>
      <c r="CV84" s="190"/>
      <c r="CW84" s="476" t="s">
        <v>608</v>
      </c>
      <c r="CX84" s="184">
        <v>1</v>
      </c>
      <c r="CY84" s="199" t="s">
        <v>559</v>
      </c>
      <c r="CZ84" s="184">
        <v>1500</v>
      </c>
      <c r="DA84" s="184">
        <f t="shared" si="61"/>
        <v>1500</v>
      </c>
      <c r="DB84" s="184">
        <f t="shared" si="62"/>
        <v>18000</v>
      </c>
      <c r="DC84" s="190"/>
      <c r="DD84" s="190"/>
      <c r="DE84" s="190"/>
      <c r="DF84" s="190"/>
      <c r="DG84" s="190"/>
      <c r="DH84" s="190"/>
      <c r="DI84" s="476" t="s">
        <v>608</v>
      </c>
      <c r="DJ84" s="184">
        <v>1</v>
      </c>
      <c r="DK84" s="199" t="s">
        <v>559</v>
      </c>
      <c r="DL84" s="184">
        <v>1500</v>
      </c>
      <c r="DM84" s="184">
        <f t="shared" si="63"/>
        <v>1500</v>
      </c>
      <c r="DN84" s="184">
        <f t="shared" si="64"/>
        <v>18000</v>
      </c>
      <c r="DO84" s="190"/>
      <c r="DP84" s="190"/>
      <c r="DQ84" s="190"/>
      <c r="DR84" s="190"/>
      <c r="DS84" s="190"/>
      <c r="DT84" s="190"/>
      <c r="DU84" s="190"/>
      <c r="DV84" s="190"/>
    </row>
    <row r="85" spans="2:126" ht="38.25" x14ac:dyDescent="0.25">
      <c r="B85" s="828" t="s">
        <v>259</v>
      </c>
      <c r="C85" s="184">
        <v>1</v>
      </c>
      <c r="D85" s="199" t="s">
        <v>559</v>
      </c>
      <c r="E85" s="184">
        <v>1000</v>
      </c>
      <c r="F85" s="184">
        <f t="shared" si="46"/>
        <v>1000</v>
      </c>
      <c r="G85" s="184">
        <f t="shared" si="47"/>
        <v>12000</v>
      </c>
      <c r="M85" s="190"/>
      <c r="N85" s="190"/>
      <c r="O85" s="190"/>
      <c r="P85" s="190"/>
      <c r="Q85" s="837" t="s">
        <v>259</v>
      </c>
      <c r="R85" s="433">
        <v>1</v>
      </c>
      <c r="S85" s="197" t="s">
        <v>260</v>
      </c>
      <c r="T85" s="191">
        <v>1000</v>
      </c>
      <c r="U85" s="433">
        <f t="shared" si="48"/>
        <v>1000</v>
      </c>
      <c r="V85" s="433">
        <f t="shared" si="49"/>
        <v>12000</v>
      </c>
      <c r="W85" s="190"/>
      <c r="X85" s="190"/>
      <c r="Y85" s="190"/>
      <c r="Z85" s="190"/>
      <c r="AA85" s="190"/>
      <c r="AB85" s="190"/>
      <c r="AC85" s="835" t="s">
        <v>259</v>
      </c>
      <c r="AD85" s="433">
        <v>1</v>
      </c>
      <c r="AE85" s="197" t="s">
        <v>260</v>
      </c>
      <c r="AF85" s="191">
        <v>1000</v>
      </c>
      <c r="AG85" s="433">
        <f t="shared" si="65"/>
        <v>1000</v>
      </c>
      <c r="AH85" s="433">
        <f t="shared" si="50"/>
        <v>12000</v>
      </c>
      <c r="AI85" s="190"/>
      <c r="AJ85" s="190"/>
      <c r="AK85" s="190"/>
      <c r="AL85" s="190"/>
      <c r="AM85" s="190"/>
      <c r="AN85" s="190"/>
      <c r="AO85" s="840" t="s">
        <v>259</v>
      </c>
      <c r="AP85" s="441">
        <v>1</v>
      </c>
      <c r="AQ85" s="197" t="s">
        <v>260</v>
      </c>
      <c r="AR85" s="191">
        <v>1000</v>
      </c>
      <c r="AS85" s="433">
        <f t="shared" si="51"/>
        <v>1000</v>
      </c>
      <c r="AT85" s="433">
        <f t="shared" si="52"/>
        <v>12000</v>
      </c>
      <c r="AU85" s="190"/>
      <c r="AV85" s="190"/>
      <c r="AW85" s="190"/>
      <c r="AX85" s="190"/>
      <c r="AY85" s="190"/>
      <c r="AZ85" s="190"/>
      <c r="BA85" s="840" t="s">
        <v>259</v>
      </c>
      <c r="BB85" s="184">
        <v>1</v>
      </c>
      <c r="BC85" s="442" t="s">
        <v>260</v>
      </c>
      <c r="BD85" s="191">
        <v>1000</v>
      </c>
      <c r="BE85" s="433">
        <f t="shared" si="53"/>
        <v>1000</v>
      </c>
      <c r="BF85" s="433">
        <f t="shared" si="54"/>
        <v>12000</v>
      </c>
      <c r="BG85" s="190"/>
      <c r="BH85" s="190"/>
      <c r="BI85" s="190"/>
      <c r="BJ85" s="190"/>
      <c r="BK85" s="190"/>
      <c r="BL85" s="190"/>
      <c r="BM85" s="835" t="s">
        <v>259</v>
      </c>
      <c r="BN85" s="433">
        <v>1</v>
      </c>
      <c r="BO85" s="197" t="s">
        <v>260</v>
      </c>
      <c r="BP85" s="191">
        <v>1000</v>
      </c>
      <c r="BQ85" s="433">
        <f t="shared" si="55"/>
        <v>1000</v>
      </c>
      <c r="BR85" s="433">
        <f t="shared" si="56"/>
        <v>12000</v>
      </c>
      <c r="BS85" s="190"/>
      <c r="BT85" s="190"/>
      <c r="BU85" s="190"/>
      <c r="BV85" s="190"/>
      <c r="BW85" s="190"/>
      <c r="BX85" s="190"/>
      <c r="BY85" s="835" t="s">
        <v>259</v>
      </c>
      <c r="BZ85" s="433">
        <v>1</v>
      </c>
      <c r="CA85" s="197" t="s">
        <v>260</v>
      </c>
      <c r="CB85" s="191">
        <v>1000</v>
      </c>
      <c r="CC85" s="433">
        <f t="shared" si="57"/>
        <v>1000</v>
      </c>
      <c r="CD85" s="433">
        <f t="shared" si="58"/>
        <v>12000</v>
      </c>
      <c r="CE85" s="190"/>
      <c r="CF85" s="190"/>
      <c r="CG85" s="190"/>
      <c r="CH85" s="190"/>
      <c r="CI85" s="190"/>
      <c r="CJ85" s="190"/>
      <c r="CK85" s="835" t="s">
        <v>259</v>
      </c>
      <c r="CL85" s="433">
        <v>1</v>
      </c>
      <c r="CM85" s="197" t="s">
        <v>260</v>
      </c>
      <c r="CN85" s="191">
        <v>1000</v>
      </c>
      <c r="CO85" s="433">
        <f t="shared" si="59"/>
        <v>1000</v>
      </c>
      <c r="CP85" s="433">
        <f t="shared" si="60"/>
        <v>12000</v>
      </c>
      <c r="CQ85" s="190"/>
      <c r="CR85" s="190"/>
      <c r="CS85" s="190"/>
      <c r="CT85" s="190"/>
      <c r="CU85" s="190"/>
      <c r="CV85" s="190"/>
      <c r="CW85" s="835" t="s">
        <v>259</v>
      </c>
      <c r="CX85" s="433">
        <v>1</v>
      </c>
      <c r="CY85" s="197" t="s">
        <v>260</v>
      </c>
      <c r="CZ85" s="191">
        <v>1000</v>
      </c>
      <c r="DA85" s="433">
        <f t="shared" si="61"/>
        <v>1000</v>
      </c>
      <c r="DB85" s="433">
        <f t="shared" si="62"/>
        <v>12000</v>
      </c>
      <c r="DC85" s="190"/>
      <c r="DD85" s="190"/>
      <c r="DE85" s="190"/>
      <c r="DF85" s="190"/>
      <c r="DG85" s="190"/>
      <c r="DH85" s="190"/>
      <c r="DI85" s="835" t="s">
        <v>259</v>
      </c>
      <c r="DJ85" s="433">
        <v>1</v>
      </c>
      <c r="DK85" s="197" t="s">
        <v>260</v>
      </c>
      <c r="DL85" s="191">
        <v>1000</v>
      </c>
      <c r="DM85" s="433">
        <f t="shared" si="63"/>
        <v>1000</v>
      </c>
      <c r="DN85" s="433">
        <f t="shared" si="64"/>
        <v>12000</v>
      </c>
      <c r="DO85" s="190"/>
      <c r="DP85" s="190"/>
      <c r="DQ85" s="190"/>
      <c r="DR85" s="190"/>
      <c r="DS85" s="190"/>
      <c r="DT85" s="190"/>
      <c r="DU85" s="190"/>
      <c r="DV85" s="190"/>
    </row>
    <row r="86" spans="2:126" ht="38.25" x14ac:dyDescent="0.25">
      <c r="B86" s="829"/>
      <c r="C86" s="184">
        <v>2</v>
      </c>
      <c r="D86" s="199" t="s">
        <v>560</v>
      </c>
      <c r="E86" s="184">
        <v>500</v>
      </c>
      <c r="F86" s="184">
        <f t="shared" si="46"/>
        <v>1000</v>
      </c>
      <c r="G86" s="184">
        <f t="shared" si="47"/>
        <v>12000</v>
      </c>
      <c r="M86" s="190"/>
      <c r="N86" s="190"/>
      <c r="O86" s="190"/>
      <c r="P86" s="190"/>
      <c r="Q86" s="836"/>
      <c r="R86" s="433">
        <v>2</v>
      </c>
      <c r="S86" s="197" t="s">
        <v>261</v>
      </c>
      <c r="T86" s="191">
        <v>500</v>
      </c>
      <c r="U86" s="433">
        <f t="shared" si="48"/>
        <v>1000</v>
      </c>
      <c r="V86" s="433">
        <f t="shared" si="49"/>
        <v>12000</v>
      </c>
      <c r="W86" s="190"/>
      <c r="X86" s="190"/>
      <c r="Y86" s="190"/>
      <c r="Z86" s="190"/>
      <c r="AA86" s="190"/>
      <c r="AB86" s="190"/>
      <c r="AC86" s="836"/>
      <c r="AD86" s="433">
        <v>2</v>
      </c>
      <c r="AE86" s="197" t="s">
        <v>261</v>
      </c>
      <c r="AF86" s="191">
        <v>500</v>
      </c>
      <c r="AG86" s="433">
        <f t="shared" si="65"/>
        <v>1000</v>
      </c>
      <c r="AH86" s="433">
        <f t="shared" si="50"/>
        <v>12000</v>
      </c>
      <c r="AI86" s="190"/>
      <c r="AJ86" s="190"/>
      <c r="AK86" s="190"/>
      <c r="AL86" s="190"/>
      <c r="AM86" s="190"/>
      <c r="AN86" s="190"/>
      <c r="AO86" s="841"/>
      <c r="AP86" s="441">
        <v>2</v>
      </c>
      <c r="AQ86" s="197" t="s">
        <v>261</v>
      </c>
      <c r="AR86" s="191">
        <v>500</v>
      </c>
      <c r="AS86" s="433">
        <f t="shared" si="51"/>
        <v>1000</v>
      </c>
      <c r="AT86" s="433">
        <f t="shared" si="52"/>
        <v>12000</v>
      </c>
      <c r="AU86" s="190"/>
      <c r="AV86" s="190"/>
      <c r="AW86" s="190"/>
      <c r="AX86" s="190"/>
      <c r="AY86" s="190"/>
      <c r="AZ86" s="190"/>
      <c r="BA86" s="841"/>
      <c r="BB86" s="184">
        <v>2</v>
      </c>
      <c r="BC86" s="442" t="s">
        <v>261</v>
      </c>
      <c r="BD86" s="191">
        <v>500</v>
      </c>
      <c r="BE86" s="433">
        <f t="shared" si="53"/>
        <v>1000</v>
      </c>
      <c r="BF86" s="433">
        <f t="shared" si="54"/>
        <v>12000</v>
      </c>
      <c r="BG86" s="190"/>
      <c r="BH86" s="190"/>
      <c r="BI86" s="190"/>
      <c r="BJ86" s="190"/>
      <c r="BK86" s="190"/>
      <c r="BL86" s="190"/>
      <c r="BM86" s="836"/>
      <c r="BN86" s="433">
        <v>2</v>
      </c>
      <c r="BO86" s="197" t="s">
        <v>261</v>
      </c>
      <c r="BP86" s="191">
        <v>500</v>
      </c>
      <c r="BQ86" s="433">
        <f t="shared" si="55"/>
        <v>1000</v>
      </c>
      <c r="BR86" s="433">
        <f t="shared" si="56"/>
        <v>12000</v>
      </c>
      <c r="BS86" s="190"/>
      <c r="BT86" s="190"/>
      <c r="BU86" s="190"/>
      <c r="BV86" s="190"/>
      <c r="BW86" s="190"/>
      <c r="BX86" s="190"/>
      <c r="BY86" s="836"/>
      <c r="BZ86" s="433">
        <v>2</v>
      </c>
      <c r="CA86" s="197" t="s">
        <v>261</v>
      </c>
      <c r="CB86" s="191">
        <v>500</v>
      </c>
      <c r="CC86" s="433">
        <f t="shared" si="57"/>
        <v>1000</v>
      </c>
      <c r="CD86" s="433">
        <f t="shared" si="58"/>
        <v>12000</v>
      </c>
      <c r="CE86" s="190"/>
      <c r="CF86" s="190"/>
      <c r="CG86" s="190"/>
      <c r="CH86" s="190"/>
      <c r="CI86" s="190"/>
      <c r="CJ86" s="190"/>
      <c r="CK86" s="836"/>
      <c r="CL86" s="433">
        <v>2</v>
      </c>
      <c r="CM86" s="197" t="s">
        <v>261</v>
      </c>
      <c r="CN86" s="191">
        <v>500</v>
      </c>
      <c r="CO86" s="433">
        <f t="shared" si="59"/>
        <v>1000</v>
      </c>
      <c r="CP86" s="433">
        <f t="shared" si="60"/>
        <v>12000</v>
      </c>
      <c r="CQ86" s="190"/>
      <c r="CR86" s="190"/>
      <c r="CS86" s="190"/>
      <c r="CT86" s="190"/>
      <c r="CU86" s="190"/>
      <c r="CV86" s="190"/>
      <c r="CW86" s="836"/>
      <c r="CX86" s="433">
        <v>2</v>
      </c>
      <c r="CY86" s="197" t="s">
        <v>261</v>
      </c>
      <c r="CZ86" s="191">
        <v>500</v>
      </c>
      <c r="DA86" s="433">
        <f t="shared" si="61"/>
        <v>1000</v>
      </c>
      <c r="DB86" s="433">
        <f t="shared" si="62"/>
        <v>12000</v>
      </c>
      <c r="DC86" s="190"/>
      <c r="DD86" s="190"/>
      <c r="DE86" s="190"/>
      <c r="DF86" s="190"/>
      <c r="DG86" s="190"/>
      <c r="DH86" s="190"/>
      <c r="DI86" s="836"/>
      <c r="DJ86" s="433">
        <v>2</v>
      </c>
      <c r="DK86" s="197" t="s">
        <v>261</v>
      </c>
      <c r="DL86" s="191">
        <v>500</v>
      </c>
      <c r="DM86" s="433">
        <f t="shared" si="63"/>
        <v>1000</v>
      </c>
      <c r="DN86" s="433">
        <f t="shared" si="64"/>
        <v>12000</v>
      </c>
      <c r="DO86" s="190"/>
      <c r="DP86" s="190"/>
      <c r="DQ86" s="190"/>
      <c r="DR86" s="190"/>
      <c r="DS86" s="190"/>
      <c r="DT86" s="190"/>
      <c r="DU86" s="190"/>
      <c r="DV86" s="190"/>
    </row>
    <row r="87" spans="2:126" ht="38.25" x14ac:dyDescent="0.25">
      <c r="B87" s="476" t="s">
        <v>262</v>
      </c>
      <c r="C87" s="184">
        <v>2</v>
      </c>
      <c r="D87" s="199" t="s">
        <v>256</v>
      </c>
      <c r="E87" s="184">
        <v>3500</v>
      </c>
      <c r="F87" s="184">
        <f t="shared" si="46"/>
        <v>7000</v>
      </c>
      <c r="G87" s="184">
        <f t="shared" si="47"/>
        <v>84000</v>
      </c>
      <c r="M87" s="190"/>
      <c r="N87" s="190"/>
      <c r="O87" s="190"/>
      <c r="P87" s="190"/>
      <c r="Q87" s="443" t="s">
        <v>262</v>
      </c>
      <c r="R87" s="433">
        <v>2</v>
      </c>
      <c r="S87" s="197" t="s">
        <v>256</v>
      </c>
      <c r="T87" s="191">
        <v>3500</v>
      </c>
      <c r="U87" s="433">
        <f t="shared" si="48"/>
        <v>7000</v>
      </c>
      <c r="V87" s="433">
        <f t="shared" si="49"/>
        <v>84000</v>
      </c>
      <c r="W87" s="190"/>
      <c r="X87" s="190"/>
      <c r="Y87" s="190"/>
      <c r="Z87" s="190"/>
      <c r="AA87" s="190"/>
      <c r="AB87" s="190"/>
      <c r="AC87" s="443" t="s">
        <v>262</v>
      </c>
      <c r="AD87" s="433">
        <v>2</v>
      </c>
      <c r="AE87" s="197" t="s">
        <v>256</v>
      </c>
      <c r="AF87" s="191">
        <v>3500</v>
      </c>
      <c r="AG87" s="433">
        <f t="shared" si="65"/>
        <v>7000</v>
      </c>
      <c r="AH87" s="433">
        <f t="shared" si="50"/>
        <v>84000</v>
      </c>
      <c r="AI87" s="190"/>
      <c r="AJ87" s="190"/>
      <c r="AK87" s="190"/>
      <c r="AL87" s="190"/>
      <c r="AM87" s="190"/>
      <c r="AN87" s="190"/>
      <c r="AO87" s="445" t="s">
        <v>262</v>
      </c>
      <c r="AP87" s="433">
        <v>2</v>
      </c>
      <c r="AQ87" s="197" t="s">
        <v>256</v>
      </c>
      <c r="AR87" s="191">
        <v>3500</v>
      </c>
      <c r="AS87" s="433">
        <f t="shared" si="51"/>
        <v>7000</v>
      </c>
      <c r="AT87" s="433">
        <f t="shared" si="52"/>
        <v>84000</v>
      </c>
      <c r="AU87" s="190"/>
      <c r="AV87" s="190"/>
      <c r="AW87" s="190"/>
      <c r="AX87" s="190"/>
      <c r="AY87" s="190"/>
      <c r="AZ87" s="190"/>
      <c r="BA87" s="444" t="s">
        <v>262</v>
      </c>
      <c r="BB87" s="184">
        <v>2</v>
      </c>
      <c r="BC87" s="442" t="s">
        <v>256</v>
      </c>
      <c r="BD87" s="191">
        <v>3500</v>
      </c>
      <c r="BE87" s="433">
        <f t="shared" si="53"/>
        <v>7000</v>
      </c>
      <c r="BF87" s="433">
        <f t="shared" si="54"/>
        <v>84000</v>
      </c>
      <c r="BG87" s="190"/>
      <c r="BH87" s="190"/>
      <c r="BI87" s="190"/>
      <c r="BJ87" s="190"/>
      <c r="BK87" s="190"/>
      <c r="BL87" s="190"/>
      <c r="BM87" s="443" t="s">
        <v>262</v>
      </c>
      <c r="BN87" s="433">
        <v>2</v>
      </c>
      <c r="BO87" s="197" t="s">
        <v>256</v>
      </c>
      <c r="BP87" s="191">
        <v>3500</v>
      </c>
      <c r="BQ87" s="433">
        <f t="shared" si="55"/>
        <v>7000</v>
      </c>
      <c r="BR87" s="433">
        <f t="shared" si="56"/>
        <v>84000</v>
      </c>
      <c r="BS87" s="190"/>
      <c r="BT87" s="190"/>
      <c r="BU87" s="190"/>
      <c r="BV87" s="190"/>
      <c r="BW87" s="190"/>
      <c r="BX87" s="190"/>
      <c r="BY87" s="443" t="s">
        <v>262</v>
      </c>
      <c r="BZ87" s="433">
        <v>2</v>
      </c>
      <c r="CA87" s="197" t="s">
        <v>256</v>
      </c>
      <c r="CB87" s="191">
        <v>3500</v>
      </c>
      <c r="CC87" s="433">
        <f t="shared" si="57"/>
        <v>7000</v>
      </c>
      <c r="CD87" s="433">
        <f t="shared" si="58"/>
        <v>84000</v>
      </c>
      <c r="CE87" s="190"/>
      <c r="CF87" s="190"/>
      <c r="CG87" s="190"/>
      <c r="CH87" s="190"/>
      <c r="CI87" s="190"/>
      <c r="CJ87" s="190"/>
      <c r="CK87" s="443" t="s">
        <v>262</v>
      </c>
      <c r="CL87" s="433">
        <v>2</v>
      </c>
      <c r="CM87" s="197" t="s">
        <v>256</v>
      </c>
      <c r="CN87" s="191">
        <v>3500</v>
      </c>
      <c r="CO87" s="433">
        <f t="shared" si="59"/>
        <v>7000</v>
      </c>
      <c r="CP87" s="433">
        <f t="shared" si="60"/>
        <v>84000</v>
      </c>
      <c r="CQ87" s="190"/>
      <c r="CR87" s="190"/>
      <c r="CS87" s="190"/>
      <c r="CT87" s="190"/>
      <c r="CU87" s="190"/>
      <c r="CV87" s="190"/>
      <c r="CW87" s="443" t="s">
        <v>262</v>
      </c>
      <c r="CX87" s="433">
        <v>2</v>
      </c>
      <c r="CY87" s="197" t="s">
        <v>256</v>
      </c>
      <c r="CZ87" s="191">
        <v>3500</v>
      </c>
      <c r="DA87" s="433">
        <f t="shared" si="61"/>
        <v>7000</v>
      </c>
      <c r="DB87" s="433">
        <f t="shared" si="62"/>
        <v>84000</v>
      </c>
      <c r="DC87" s="190"/>
      <c r="DD87" s="190"/>
      <c r="DE87" s="190"/>
      <c r="DF87" s="190"/>
      <c r="DG87" s="190"/>
      <c r="DH87" s="190"/>
      <c r="DI87" s="443" t="s">
        <v>262</v>
      </c>
      <c r="DJ87" s="433">
        <v>2</v>
      </c>
      <c r="DK87" s="197" t="s">
        <v>256</v>
      </c>
      <c r="DL87" s="191">
        <v>3500</v>
      </c>
      <c r="DM87" s="433">
        <f t="shared" si="63"/>
        <v>7000</v>
      </c>
      <c r="DN87" s="433">
        <f t="shared" si="64"/>
        <v>84000</v>
      </c>
      <c r="DO87" s="190"/>
      <c r="DP87" s="190"/>
      <c r="DQ87" s="190"/>
      <c r="DR87" s="190"/>
      <c r="DS87" s="190"/>
      <c r="DT87" s="190"/>
      <c r="DU87" s="190"/>
      <c r="DV87" s="190"/>
    </row>
    <row r="88" spans="2:126" ht="25.5" x14ac:dyDescent="0.25">
      <c r="B88" s="823" t="s">
        <v>263</v>
      </c>
      <c r="C88" s="184">
        <v>2</v>
      </c>
      <c r="D88" s="199" t="s">
        <v>561</v>
      </c>
      <c r="E88" s="184">
        <v>1800</v>
      </c>
      <c r="F88" s="184">
        <f t="shared" si="46"/>
        <v>3600</v>
      </c>
      <c r="G88" s="184">
        <f t="shared" si="47"/>
        <v>43200</v>
      </c>
      <c r="M88" s="190"/>
      <c r="N88" s="190"/>
      <c r="O88" s="190"/>
      <c r="P88" s="190"/>
      <c r="Q88" s="835" t="s">
        <v>263</v>
      </c>
      <c r="R88" s="450">
        <v>2</v>
      </c>
      <c r="S88" s="208" t="s">
        <v>264</v>
      </c>
      <c r="T88" s="451">
        <v>1800</v>
      </c>
      <c r="U88" s="433">
        <f t="shared" si="48"/>
        <v>3600</v>
      </c>
      <c r="V88" s="433">
        <f t="shared" si="49"/>
        <v>43200</v>
      </c>
      <c r="W88" s="190"/>
      <c r="X88" s="190"/>
      <c r="Y88" s="190"/>
      <c r="Z88" s="190"/>
      <c r="AA88" s="190"/>
      <c r="AB88" s="190"/>
      <c r="AC88" s="835" t="s">
        <v>263</v>
      </c>
      <c r="AD88" s="450">
        <v>2</v>
      </c>
      <c r="AE88" s="208" t="s">
        <v>264</v>
      </c>
      <c r="AF88" s="451">
        <v>1800</v>
      </c>
      <c r="AG88" s="433">
        <f t="shared" si="65"/>
        <v>3600</v>
      </c>
      <c r="AH88" s="433">
        <f t="shared" si="50"/>
        <v>43200</v>
      </c>
      <c r="AI88" s="190"/>
      <c r="AJ88" s="190"/>
      <c r="AK88" s="190"/>
      <c r="AL88" s="190"/>
      <c r="AM88" s="190"/>
      <c r="AN88" s="190"/>
      <c r="AO88" s="835" t="s">
        <v>263</v>
      </c>
      <c r="AP88" s="450">
        <v>2</v>
      </c>
      <c r="AQ88" s="208" t="s">
        <v>264</v>
      </c>
      <c r="AR88" s="451">
        <v>1800</v>
      </c>
      <c r="AS88" s="433">
        <f t="shared" si="51"/>
        <v>3600</v>
      </c>
      <c r="AT88" s="433">
        <f t="shared" si="52"/>
        <v>43200</v>
      </c>
      <c r="AU88" s="190"/>
      <c r="AV88" s="190"/>
      <c r="AW88" s="190"/>
      <c r="AX88" s="190"/>
      <c r="AY88" s="190"/>
      <c r="AZ88" s="190"/>
      <c r="BA88" s="837" t="s">
        <v>263</v>
      </c>
      <c r="BB88" s="452">
        <v>2</v>
      </c>
      <c r="BC88" s="208" t="s">
        <v>264</v>
      </c>
      <c r="BD88" s="451">
        <v>1800</v>
      </c>
      <c r="BE88" s="433">
        <f t="shared" si="53"/>
        <v>3600</v>
      </c>
      <c r="BF88" s="433">
        <f t="shared" si="54"/>
        <v>43200</v>
      </c>
      <c r="BG88" s="190"/>
      <c r="BH88" s="190"/>
      <c r="BI88" s="190"/>
      <c r="BJ88" s="190"/>
      <c r="BK88" s="190"/>
      <c r="BL88" s="190"/>
      <c r="BM88" s="835" t="s">
        <v>263</v>
      </c>
      <c r="BN88" s="450">
        <v>2</v>
      </c>
      <c r="BO88" s="208" t="s">
        <v>264</v>
      </c>
      <c r="BP88" s="451">
        <v>1800</v>
      </c>
      <c r="BQ88" s="433">
        <f t="shared" si="55"/>
        <v>3600</v>
      </c>
      <c r="BR88" s="433">
        <f t="shared" si="56"/>
        <v>43200</v>
      </c>
      <c r="BS88" s="190"/>
      <c r="BT88" s="190"/>
      <c r="BU88" s="190"/>
      <c r="BV88" s="190"/>
      <c r="BW88" s="190"/>
      <c r="BX88" s="190"/>
      <c r="BY88" s="835" t="s">
        <v>263</v>
      </c>
      <c r="BZ88" s="450">
        <v>2</v>
      </c>
      <c r="CA88" s="208" t="s">
        <v>264</v>
      </c>
      <c r="CB88" s="451">
        <v>1800</v>
      </c>
      <c r="CC88" s="433">
        <f t="shared" si="57"/>
        <v>3600</v>
      </c>
      <c r="CD88" s="433">
        <f t="shared" si="58"/>
        <v>43200</v>
      </c>
      <c r="CE88" s="190"/>
      <c r="CF88" s="190"/>
      <c r="CG88" s="190"/>
      <c r="CH88" s="190"/>
      <c r="CI88" s="190"/>
      <c r="CJ88" s="190"/>
      <c r="CK88" s="835" t="s">
        <v>263</v>
      </c>
      <c r="CL88" s="450">
        <v>3</v>
      </c>
      <c r="CM88" s="208" t="s">
        <v>264</v>
      </c>
      <c r="CN88" s="451">
        <v>1800</v>
      </c>
      <c r="CO88" s="433">
        <f t="shared" si="59"/>
        <v>5400</v>
      </c>
      <c r="CP88" s="433">
        <f t="shared" si="60"/>
        <v>64800</v>
      </c>
      <c r="CQ88" s="190"/>
      <c r="CR88" s="190"/>
      <c r="CS88" s="190"/>
      <c r="CT88" s="190"/>
      <c r="CU88" s="190"/>
      <c r="CV88" s="190"/>
      <c r="CW88" s="835" t="s">
        <v>263</v>
      </c>
      <c r="CX88" s="450">
        <v>3</v>
      </c>
      <c r="CY88" s="208" t="s">
        <v>264</v>
      </c>
      <c r="CZ88" s="451">
        <v>1800</v>
      </c>
      <c r="DA88" s="433">
        <f t="shared" si="61"/>
        <v>5400</v>
      </c>
      <c r="DB88" s="433">
        <f t="shared" si="62"/>
        <v>64800</v>
      </c>
      <c r="DC88" s="190"/>
      <c r="DD88" s="190"/>
      <c r="DE88" s="190"/>
      <c r="DF88" s="190"/>
      <c r="DG88" s="190"/>
      <c r="DH88" s="190"/>
      <c r="DI88" s="835" t="s">
        <v>263</v>
      </c>
      <c r="DJ88" s="450">
        <v>3</v>
      </c>
      <c r="DK88" s="208" t="s">
        <v>264</v>
      </c>
      <c r="DL88" s="451">
        <v>1800</v>
      </c>
      <c r="DM88" s="433">
        <f t="shared" si="63"/>
        <v>5400</v>
      </c>
      <c r="DN88" s="433">
        <f t="shared" si="64"/>
        <v>64800</v>
      </c>
      <c r="DO88" s="190"/>
      <c r="DP88" s="190"/>
      <c r="DQ88" s="190"/>
      <c r="DR88" s="190"/>
      <c r="DS88" s="190"/>
      <c r="DT88" s="190"/>
      <c r="DU88" s="190"/>
      <c r="DV88" s="190"/>
    </row>
    <row r="89" spans="2:126" ht="25.5" x14ac:dyDescent="0.25">
      <c r="B89" s="829"/>
      <c r="C89" s="184">
        <v>1</v>
      </c>
      <c r="D89" s="199" t="s">
        <v>265</v>
      </c>
      <c r="E89" s="184">
        <v>900</v>
      </c>
      <c r="F89" s="184">
        <f t="shared" si="46"/>
        <v>900</v>
      </c>
      <c r="G89" s="184">
        <f t="shared" si="47"/>
        <v>10800</v>
      </c>
      <c r="M89" s="190"/>
      <c r="N89" s="190"/>
      <c r="O89" s="190"/>
      <c r="P89" s="190"/>
      <c r="Q89" s="844"/>
      <c r="R89" s="450">
        <v>1</v>
      </c>
      <c r="S89" s="208" t="s">
        <v>265</v>
      </c>
      <c r="T89" s="451">
        <v>900</v>
      </c>
      <c r="U89" s="433">
        <f t="shared" si="48"/>
        <v>900</v>
      </c>
      <c r="V89" s="433">
        <f t="shared" si="49"/>
        <v>10800</v>
      </c>
      <c r="W89" s="190"/>
      <c r="X89" s="190"/>
      <c r="Y89" s="190"/>
      <c r="Z89" s="190"/>
      <c r="AA89" s="190"/>
      <c r="AB89" s="190"/>
      <c r="AC89" s="836"/>
      <c r="AD89" s="450">
        <v>2</v>
      </c>
      <c r="AE89" s="208" t="s">
        <v>265</v>
      </c>
      <c r="AF89" s="451">
        <v>900</v>
      </c>
      <c r="AG89" s="433">
        <f t="shared" si="65"/>
        <v>1800</v>
      </c>
      <c r="AH89" s="433">
        <f t="shared" si="50"/>
        <v>21600</v>
      </c>
      <c r="AI89" s="190"/>
      <c r="AJ89" s="190"/>
      <c r="AK89" s="190"/>
      <c r="AL89" s="190"/>
      <c r="AM89" s="190"/>
      <c r="AN89" s="190"/>
      <c r="AO89" s="836"/>
      <c r="AP89" s="450">
        <v>2</v>
      </c>
      <c r="AQ89" s="208" t="s">
        <v>265</v>
      </c>
      <c r="AR89" s="451">
        <v>900</v>
      </c>
      <c r="AS89" s="433">
        <f t="shared" si="51"/>
        <v>1800</v>
      </c>
      <c r="AT89" s="433">
        <f t="shared" si="52"/>
        <v>21600</v>
      </c>
      <c r="AU89" s="190"/>
      <c r="AV89" s="190"/>
      <c r="AW89" s="190"/>
      <c r="AX89" s="190"/>
      <c r="AY89" s="190"/>
      <c r="AZ89" s="190"/>
      <c r="BA89" s="836"/>
      <c r="BB89" s="450">
        <v>3</v>
      </c>
      <c r="BC89" s="208" t="s">
        <v>265</v>
      </c>
      <c r="BD89" s="451">
        <v>900</v>
      </c>
      <c r="BE89" s="433">
        <f t="shared" si="53"/>
        <v>2700</v>
      </c>
      <c r="BF89" s="433">
        <f t="shared" si="54"/>
        <v>32400</v>
      </c>
      <c r="BG89" s="190"/>
      <c r="BH89" s="190"/>
      <c r="BI89" s="190"/>
      <c r="BJ89" s="190"/>
      <c r="BK89" s="190"/>
      <c r="BL89" s="190"/>
      <c r="BM89" s="836"/>
      <c r="BN89" s="450">
        <v>3</v>
      </c>
      <c r="BO89" s="208" t="s">
        <v>265</v>
      </c>
      <c r="BP89" s="451">
        <v>900</v>
      </c>
      <c r="BQ89" s="433">
        <f t="shared" si="55"/>
        <v>2700</v>
      </c>
      <c r="BR89" s="433">
        <f t="shared" si="56"/>
        <v>32400</v>
      </c>
      <c r="BS89" s="190"/>
      <c r="BT89" s="190"/>
      <c r="BU89" s="190"/>
      <c r="BV89" s="190"/>
      <c r="BW89" s="190"/>
      <c r="BX89" s="190"/>
      <c r="BY89" s="836"/>
      <c r="BZ89" s="450">
        <v>3</v>
      </c>
      <c r="CA89" s="208" t="s">
        <v>265</v>
      </c>
      <c r="CB89" s="451">
        <v>900</v>
      </c>
      <c r="CC89" s="433">
        <f t="shared" si="57"/>
        <v>2700</v>
      </c>
      <c r="CD89" s="433">
        <f t="shared" si="58"/>
        <v>32400</v>
      </c>
      <c r="CE89" s="190"/>
      <c r="CF89" s="190"/>
      <c r="CG89" s="190"/>
      <c r="CH89" s="190"/>
      <c r="CI89" s="190"/>
      <c r="CJ89" s="190"/>
      <c r="CK89" s="836"/>
      <c r="CL89" s="450">
        <v>3</v>
      </c>
      <c r="CM89" s="208" t="s">
        <v>265</v>
      </c>
      <c r="CN89" s="451">
        <v>900</v>
      </c>
      <c r="CO89" s="433">
        <f t="shared" si="59"/>
        <v>2700</v>
      </c>
      <c r="CP89" s="433">
        <f t="shared" si="60"/>
        <v>32400</v>
      </c>
      <c r="CQ89" s="190"/>
      <c r="CR89" s="190"/>
      <c r="CS89" s="190"/>
      <c r="CT89" s="190"/>
      <c r="CU89" s="190"/>
      <c r="CV89" s="190"/>
      <c r="CW89" s="836"/>
      <c r="CX89" s="450">
        <v>3</v>
      </c>
      <c r="CY89" s="208" t="s">
        <v>265</v>
      </c>
      <c r="CZ89" s="451">
        <v>900</v>
      </c>
      <c r="DA89" s="433">
        <f t="shared" si="61"/>
        <v>2700</v>
      </c>
      <c r="DB89" s="433">
        <f t="shared" si="62"/>
        <v>32400</v>
      </c>
      <c r="DC89" s="190"/>
      <c r="DD89" s="190"/>
      <c r="DE89" s="190"/>
      <c r="DF89" s="190"/>
      <c r="DG89" s="190"/>
      <c r="DH89" s="190"/>
      <c r="DI89" s="836"/>
      <c r="DJ89" s="450">
        <v>3</v>
      </c>
      <c r="DK89" s="208" t="s">
        <v>265</v>
      </c>
      <c r="DL89" s="451">
        <v>900</v>
      </c>
      <c r="DM89" s="433">
        <f t="shared" si="63"/>
        <v>2700</v>
      </c>
      <c r="DN89" s="433">
        <f t="shared" si="64"/>
        <v>32400</v>
      </c>
      <c r="DO89" s="190"/>
      <c r="DP89" s="190"/>
      <c r="DQ89" s="190"/>
      <c r="DR89" s="190"/>
      <c r="DS89" s="190"/>
      <c r="DT89" s="190"/>
      <c r="DU89" s="190"/>
      <c r="DV89" s="190"/>
    </row>
    <row r="90" spans="2:126" ht="25.5" x14ac:dyDescent="0.25">
      <c r="B90" s="823" t="s">
        <v>266</v>
      </c>
      <c r="C90" s="184">
        <v>1</v>
      </c>
      <c r="D90" s="199" t="s">
        <v>561</v>
      </c>
      <c r="E90" s="184">
        <v>2500</v>
      </c>
      <c r="F90" s="184">
        <f t="shared" si="46"/>
        <v>2500</v>
      </c>
      <c r="G90" s="184">
        <f t="shared" si="47"/>
        <v>30000</v>
      </c>
      <c r="M90" s="190"/>
      <c r="N90" s="190"/>
      <c r="O90" s="190"/>
      <c r="P90" s="190"/>
      <c r="Q90" s="835" t="s">
        <v>266</v>
      </c>
      <c r="R90" s="433">
        <v>1</v>
      </c>
      <c r="S90" s="197" t="s">
        <v>264</v>
      </c>
      <c r="T90" s="191">
        <v>2500</v>
      </c>
      <c r="U90" s="433">
        <f t="shared" si="48"/>
        <v>2500</v>
      </c>
      <c r="V90" s="433">
        <f t="shared" si="49"/>
        <v>30000</v>
      </c>
      <c r="W90" s="190"/>
      <c r="X90" s="190"/>
      <c r="Y90" s="190"/>
      <c r="Z90" s="190"/>
      <c r="AA90" s="190"/>
      <c r="AB90" s="190"/>
      <c r="AC90" s="835" t="s">
        <v>266</v>
      </c>
      <c r="AD90" s="433">
        <v>1</v>
      </c>
      <c r="AE90" s="197" t="s">
        <v>264</v>
      </c>
      <c r="AF90" s="191">
        <v>2500</v>
      </c>
      <c r="AG90" s="433">
        <f t="shared" si="65"/>
        <v>2500</v>
      </c>
      <c r="AH90" s="433">
        <f t="shared" si="50"/>
        <v>30000</v>
      </c>
      <c r="AI90" s="190"/>
      <c r="AJ90" s="190"/>
      <c r="AK90" s="190"/>
      <c r="AL90" s="190"/>
      <c r="AM90" s="190"/>
      <c r="AN90" s="190"/>
      <c r="AO90" s="835" t="s">
        <v>266</v>
      </c>
      <c r="AP90" s="433">
        <v>1</v>
      </c>
      <c r="AQ90" s="197" t="s">
        <v>264</v>
      </c>
      <c r="AR90" s="191">
        <v>2500</v>
      </c>
      <c r="AS90" s="433">
        <f t="shared" si="51"/>
        <v>2500</v>
      </c>
      <c r="AT90" s="433">
        <f t="shared" si="52"/>
        <v>30000</v>
      </c>
      <c r="AU90" s="190"/>
      <c r="AV90" s="190"/>
      <c r="AW90" s="190"/>
      <c r="AX90" s="190"/>
      <c r="AY90" s="190"/>
      <c r="AZ90" s="190"/>
      <c r="BA90" s="835" t="s">
        <v>266</v>
      </c>
      <c r="BB90" s="433">
        <v>1</v>
      </c>
      <c r="BC90" s="197" t="s">
        <v>264</v>
      </c>
      <c r="BD90" s="191">
        <v>2500</v>
      </c>
      <c r="BE90" s="433">
        <f t="shared" si="53"/>
        <v>2500</v>
      </c>
      <c r="BF90" s="433">
        <f t="shared" si="54"/>
        <v>30000</v>
      </c>
      <c r="BG90" s="190"/>
      <c r="BH90" s="190"/>
      <c r="BI90" s="190"/>
      <c r="BJ90" s="190"/>
      <c r="BK90" s="190"/>
      <c r="BL90" s="190"/>
      <c r="BM90" s="835" t="s">
        <v>266</v>
      </c>
      <c r="BN90" s="433">
        <v>1</v>
      </c>
      <c r="BO90" s="197" t="s">
        <v>264</v>
      </c>
      <c r="BP90" s="191">
        <v>2500</v>
      </c>
      <c r="BQ90" s="433">
        <f t="shared" si="55"/>
        <v>2500</v>
      </c>
      <c r="BR90" s="433">
        <f t="shared" si="56"/>
        <v>30000</v>
      </c>
      <c r="BS90" s="190"/>
      <c r="BT90" s="190"/>
      <c r="BU90" s="190"/>
      <c r="BV90" s="190"/>
      <c r="BW90" s="190"/>
      <c r="BX90" s="190"/>
      <c r="BY90" s="835" t="s">
        <v>266</v>
      </c>
      <c r="BZ90" s="433">
        <v>2</v>
      </c>
      <c r="CA90" s="197" t="s">
        <v>264</v>
      </c>
      <c r="CB90" s="191">
        <v>2500</v>
      </c>
      <c r="CC90" s="433">
        <f t="shared" si="57"/>
        <v>5000</v>
      </c>
      <c r="CD90" s="433">
        <f t="shared" si="58"/>
        <v>60000</v>
      </c>
      <c r="CE90" s="190"/>
      <c r="CF90" s="190"/>
      <c r="CG90" s="190"/>
      <c r="CH90" s="190"/>
      <c r="CI90" s="190"/>
      <c r="CJ90" s="190"/>
      <c r="CK90" s="835" t="s">
        <v>266</v>
      </c>
      <c r="CL90" s="433">
        <v>2</v>
      </c>
      <c r="CM90" s="197" t="s">
        <v>264</v>
      </c>
      <c r="CN90" s="191">
        <v>2500</v>
      </c>
      <c r="CO90" s="433">
        <f t="shared" si="59"/>
        <v>5000</v>
      </c>
      <c r="CP90" s="433">
        <f t="shared" si="60"/>
        <v>60000</v>
      </c>
      <c r="CQ90" s="190"/>
      <c r="CR90" s="190"/>
      <c r="CS90" s="190"/>
      <c r="CT90" s="190"/>
      <c r="CU90" s="190"/>
      <c r="CV90" s="190"/>
      <c r="CW90" s="835" t="s">
        <v>266</v>
      </c>
      <c r="CX90" s="433">
        <v>2</v>
      </c>
      <c r="CY90" s="197" t="s">
        <v>264</v>
      </c>
      <c r="CZ90" s="191">
        <v>2500</v>
      </c>
      <c r="DA90" s="433">
        <f t="shared" si="61"/>
        <v>5000</v>
      </c>
      <c r="DB90" s="433">
        <f t="shared" si="62"/>
        <v>60000</v>
      </c>
      <c r="DC90" s="190"/>
      <c r="DD90" s="190"/>
      <c r="DE90" s="190"/>
      <c r="DF90" s="190"/>
      <c r="DG90" s="190"/>
      <c r="DH90" s="190"/>
      <c r="DI90" s="835" t="s">
        <v>266</v>
      </c>
      <c r="DJ90" s="433">
        <v>2</v>
      </c>
      <c r="DK90" s="197" t="s">
        <v>264</v>
      </c>
      <c r="DL90" s="191">
        <v>2500</v>
      </c>
      <c r="DM90" s="433">
        <f t="shared" si="63"/>
        <v>5000</v>
      </c>
      <c r="DN90" s="433">
        <f t="shared" si="64"/>
        <v>60000</v>
      </c>
      <c r="DO90" s="190"/>
      <c r="DP90" s="190"/>
      <c r="DQ90" s="190"/>
      <c r="DR90" s="190"/>
      <c r="DS90" s="190"/>
      <c r="DT90" s="190"/>
      <c r="DU90" s="190"/>
      <c r="DV90" s="190"/>
    </row>
    <row r="91" spans="2:126" ht="38.25" x14ac:dyDescent="0.25">
      <c r="B91" s="829"/>
      <c r="C91" s="184">
        <v>2</v>
      </c>
      <c r="D91" s="199" t="s">
        <v>267</v>
      </c>
      <c r="E91" s="184">
        <v>1250</v>
      </c>
      <c r="F91" s="184">
        <f t="shared" si="46"/>
        <v>2500</v>
      </c>
      <c r="G91" s="184">
        <f t="shared" si="47"/>
        <v>30000</v>
      </c>
      <c r="M91" s="190"/>
      <c r="N91" s="190"/>
      <c r="O91" s="190"/>
      <c r="P91" s="190"/>
      <c r="Q91" s="844"/>
      <c r="R91" s="433">
        <v>2</v>
      </c>
      <c r="S91" s="197" t="s">
        <v>267</v>
      </c>
      <c r="T91" s="191">
        <v>1250</v>
      </c>
      <c r="U91" s="433">
        <f t="shared" si="48"/>
        <v>2500</v>
      </c>
      <c r="V91" s="433">
        <f t="shared" si="49"/>
        <v>30000</v>
      </c>
      <c r="W91" s="190"/>
      <c r="X91" s="190"/>
      <c r="Y91" s="190"/>
      <c r="Z91" s="190"/>
      <c r="AA91" s="190"/>
      <c r="AB91" s="190"/>
      <c r="AC91" s="836"/>
      <c r="AD91" s="433">
        <v>2</v>
      </c>
      <c r="AE91" s="197" t="s">
        <v>267</v>
      </c>
      <c r="AF91" s="191">
        <v>1250</v>
      </c>
      <c r="AG91" s="433">
        <f t="shared" si="65"/>
        <v>2500</v>
      </c>
      <c r="AH91" s="433">
        <f t="shared" si="50"/>
        <v>30000</v>
      </c>
      <c r="AI91" s="190"/>
      <c r="AJ91" s="190"/>
      <c r="AK91" s="190"/>
      <c r="AL91" s="190"/>
      <c r="AM91" s="190"/>
      <c r="AN91" s="190"/>
      <c r="AO91" s="836"/>
      <c r="AP91" s="433">
        <v>3</v>
      </c>
      <c r="AQ91" s="197" t="s">
        <v>267</v>
      </c>
      <c r="AR91" s="191">
        <v>1250</v>
      </c>
      <c r="AS91" s="433">
        <f t="shared" si="51"/>
        <v>3750</v>
      </c>
      <c r="AT91" s="433">
        <f t="shared" si="52"/>
        <v>45000</v>
      </c>
      <c r="AU91" s="190"/>
      <c r="AV91" s="190"/>
      <c r="AW91" s="190"/>
      <c r="AX91" s="190"/>
      <c r="AY91" s="190"/>
      <c r="AZ91" s="190"/>
      <c r="BA91" s="836"/>
      <c r="BB91" s="433">
        <v>3</v>
      </c>
      <c r="BC91" s="197" t="s">
        <v>267</v>
      </c>
      <c r="BD91" s="191">
        <v>1250</v>
      </c>
      <c r="BE91" s="433">
        <f t="shared" si="53"/>
        <v>3750</v>
      </c>
      <c r="BF91" s="433">
        <f t="shared" si="54"/>
        <v>45000</v>
      </c>
      <c r="BG91" s="190"/>
      <c r="BH91" s="190"/>
      <c r="BI91" s="190"/>
      <c r="BJ91" s="190"/>
      <c r="BK91" s="190"/>
      <c r="BL91" s="190"/>
      <c r="BM91" s="836"/>
      <c r="BN91" s="433">
        <v>3</v>
      </c>
      <c r="BO91" s="197" t="s">
        <v>267</v>
      </c>
      <c r="BP91" s="191">
        <v>1250</v>
      </c>
      <c r="BQ91" s="433">
        <f t="shared" si="55"/>
        <v>3750</v>
      </c>
      <c r="BR91" s="433">
        <f t="shared" si="56"/>
        <v>45000</v>
      </c>
      <c r="BS91" s="190"/>
      <c r="BT91" s="190"/>
      <c r="BU91" s="190"/>
      <c r="BV91" s="190"/>
      <c r="BW91" s="190"/>
      <c r="BX91" s="190"/>
      <c r="BY91" s="836"/>
      <c r="BZ91" s="433">
        <v>3</v>
      </c>
      <c r="CA91" s="197" t="s">
        <v>267</v>
      </c>
      <c r="CB91" s="191">
        <v>1250</v>
      </c>
      <c r="CC91" s="433">
        <f t="shared" si="57"/>
        <v>3750</v>
      </c>
      <c r="CD91" s="433">
        <f t="shared" si="58"/>
        <v>45000</v>
      </c>
      <c r="CE91" s="190"/>
      <c r="CF91" s="190"/>
      <c r="CG91" s="190"/>
      <c r="CH91" s="190"/>
      <c r="CI91" s="190"/>
      <c r="CJ91" s="190"/>
      <c r="CK91" s="836"/>
      <c r="CL91" s="433">
        <v>3</v>
      </c>
      <c r="CM91" s="197" t="s">
        <v>267</v>
      </c>
      <c r="CN91" s="191">
        <v>1250</v>
      </c>
      <c r="CO91" s="433">
        <f t="shared" si="59"/>
        <v>3750</v>
      </c>
      <c r="CP91" s="433">
        <f t="shared" si="60"/>
        <v>45000</v>
      </c>
      <c r="CQ91" s="190"/>
      <c r="CR91" s="190"/>
      <c r="CS91" s="190"/>
      <c r="CT91" s="190"/>
      <c r="CU91" s="190"/>
      <c r="CV91" s="190"/>
      <c r="CW91" s="836"/>
      <c r="CX91" s="433">
        <v>3</v>
      </c>
      <c r="CY91" s="197" t="s">
        <v>267</v>
      </c>
      <c r="CZ91" s="191">
        <v>1250</v>
      </c>
      <c r="DA91" s="433">
        <f t="shared" si="61"/>
        <v>3750</v>
      </c>
      <c r="DB91" s="433">
        <f t="shared" si="62"/>
        <v>45000</v>
      </c>
      <c r="DC91" s="190"/>
      <c r="DD91" s="190"/>
      <c r="DE91" s="190"/>
      <c r="DF91" s="190"/>
      <c r="DG91" s="190"/>
      <c r="DH91" s="190"/>
      <c r="DI91" s="836"/>
      <c r="DJ91" s="433">
        <v>3</v>
      </c>
      <c r="DK91" s="197" t="s">
        <v>267</v>
      </c>
      <c r="DL91" s="191">
        <v>1250</v>
      </c>
      <c r="DM91" s="433">
        <f t="shared" si="63"/>
        <v>3750</v>
      </c>
      <c r="DN91" s="433">
        <f t="shared" si="64"/>
        <v>45000</v>
      </c>
      <c r="DO91" s="190"/>
      <c r="DP91" s="190"/>
      <c r="DQ91" s="190"/>
      <c r="DR91" s="190"/>
      <c r="DS91" s="190"/>
      <c r="DT91" s="190"/>
      <c r="DU91" s="190"/>
      <c r="DV91" s="190"/>
    </row>
    <row r="92" spans="2:126" ht="38.25" x14ac:dyDescent="0.25">
      <c r="B92" s="476" t="s">
        <v>156</v>
      </c>
      <c r="C92" s="184">
        <v>1</v>
      </c>
      <c r="D92" s="199" t="s">
        <v>267</v>
      </c>
      <c r="E92" s="184">
        <v>2500</v>
      </c>
      <c r="F92" s="184">
        <f t="shared" si="46"/>
        <v>2500</v>
      </c>
      <c r="G92" s="184">
        <f t="shared" si="47"/>
        <v>30000</v>
      </c>
      <c r="M92" s="190"/>
      <c r="N92" s="190"/>
      <c r="O92" s="190"/>
      <c r="P92" s="190"/>
      <c r="Q92" s="443" t="s">
        <v>156</v>
      </c>
      <c r="R92" s="433">
        <v>1</v>
      </c>
      <c r="S92" s="197" t="s">
        <v>267</v>
      </c>
      <c r="T92" s="191">
        <v>2500</v>
      </c>
      <c r="U92" s="433">
        <f t="shared" si="48"/>
        <v>2500</v>
      </c>
      <c r="V92" s="433">
        <f t="shared" si="49"/>
        <v>30000</v>
      </c>
      <c r="W92" s="190"/>
      <c r="X92" s="190"/>
      <c r="Y92" s="190"/>
      <c r="Z92" s="190"/>
      <c r="AA92" s="190"/>
      <c r="AB92" s="190"/>
      <c r="AC92" s="443" t="s">
        <v>156</v>
      </c>
      <c r="AD92" s="433">
        <v>1</v>
      </c>
      <c r="AE92" s="197" t="s">
        <v>267</v>
      </c>
      <c r="AF92" s="191">
        <v>2500</v>
      </c>
      <c r="AG92" s="433">
        <f t="shared" si="65"/>
        <v>2500</v>
      </c>
      <c r="AH92" s="433">
        <f t="shared" si="50"/>
        <v>30000</v>
      </c>
      <c r="AI92" s="190"/>
      <c r="AJ92" s="190"/>
      <c r="AK92" s="190"/>
      <c r="AL92" s="190"/>
      <c r="AM92" s="190"/>
      <c r="AN92" s="190"/>
      <c r="AO92" s="443" t="s">
        <v>156</v>
      </c>
      <c r="AP92" s="433">
        <v>1</v>
      </c>
      <c r="AQ92" s="197" t="s">
        <v>267</v>
      </c>
      <c r="AR92" s="191">
        <v>2500</v>
      </c>
      <c r="AS92" s="433">
        <f t="shared" si="51"/>
        <v>2500</v>
      </c>
      <c r="AT92" s="433">
        <f t="shared" si="52"/>
        <v>30000</v>
      </c>
      <c r="AU92" s="190"/>
      <c r="AV92" s="190"/>
      <c r="AW92" s="190"/>
      <c r="AX92" s="190"/>
      <c r="AY92" s="190"/>
      <c r="AZ92" s="190"/>
      <c r="BA92" s="443" t="s">
        <v>156</v>
      </c>
      <c r="BB92" s="433">
        <v>2</v>
      </c>
      <c r="BC92" s="197" t="s">
        <v>267</v>
      </c>
      <c r="BD92" s="191">
        <v>2500</v>
      </c>
      <c r="BE92" s="433">
        <f t="shared" si="53"/>
        <v>5000</v>
      </c>
      <c r="BF92" s="433">
        <f t="shared" si="54"/>
        <v>60000</v>
      </c>
      <c r="BG92" s="190"/>
      <c r="BH92" s="190"/>
      <c r="BI92" s="190"/>
      <c r="BJ92" s="190"/>
      <c r="BK92" s="190"/>
      <c r="BL92" s="190"/>
      <c r="BM92" s="443" t="s">
        <v>156</v>
      </c>
      <c r="BN92" s="433">
        <v>2</v>
      </c>
      <c r="BO92" s="197" t="s">
        <v>267</v>
      </c>
      <c r="BP92" s="191">
        <v>2500</v>
      </c>
      <c r="BQ92" s="433">
        <f t="shared" si="55"/>
        <v>5000</v>
      </c>
      <c r="BR92" s="433">
        <f t="shared" si="56"/>
        <v>60000</v>
      </c>
      <c r="BS92" s="190"/>
      <c r="BT92" s="190"/>
      <c r="BU92" s="190"/>
      <c r="BV92" s="190"/>
      <c r="BW92" s="190"/>
      <c r="BX92" s="190"/>
      <c r="BY92" s="443" t="s">
        <v>156</v>
      </c>
      <c r="BZ92" s="433">
        <v>2</v>
      </c>
      <c r="CA92" s="197" t="s">
        <v>267</v>
      </c>
      <c r="CB92" s="191">
        <v>2500</v>
      </c>
      <c r="CC92" s="433">
        <f t="shared" si="57"/>
        <v>5000</v>
      </c>
      <c r="CD92" s="433">
        <f t="shared" si="58"/>
        <v>60000</v>
      </c>
      <c r="CE92" s="190"/>
      <c r="CF92" s="190"/>
      <c r="CG92" s="190"/>
      <c r="CH92" s="190"/>
      <c r="CI92" s="190"/>
      <c r="CJ92" s="190"/>
      <c r="CK92" s="443" t="s">
        <v>156</v>
      </c>
      <c r="CL92" s="433">
        <v>2</v>
      </c>
      <c r="CM92" s="197" t="s">
        <v>267</v>
      </c>
      <c r="CN92" s="191">
        <v>2500</v>
      </c>
      <c r="CO92" s="433">
        <f t="shared" si="59"/>
        <v>5000</v>
      </c>
      <c r="CP92" s="433">
        <f t="shared" si="60"/>
        <v>60000</v>
      </c>
      <c r="CQ92" s="190"/>
      <c r="CR92" s="190"/>
      <c r="CS92" s="190"/>
      <c r="CT92" s="190"/>
      <c r="CU92" s="190"/>
      <c r="CV92" s="190"/>
      <c r="CW92" s="443" t="s">
        <v>156</v>
      </c>
      <c r="CX92" s="433">
        <v>2</v>
      </c>
      <c r="CY92" s="197" t="s">
        <v>267</v>
      </c>
      <c r="CZ92" s="191">
        <v>2500</v>
      </c>
      <c r="DA92" s="433">
        <f t="shared" si="61"/>
        <v>5000</v>
      </c>
      <c r="DB92" s="433">
        <f t="shared" si="62"/>
        <v>60000</v>
      </c>
      <c r="DC92" s="190"/>
      <c r="DD92" s="190"/>
      <c r="DE92" s="190"/>
      <c r="DF92" s="190"/>
      <c r="DG92" s="190"/>
      <c r="DH92" s="190"/>
      <c r="DI92" s="443" t="s">
        <v>156</v>
      </c>
      <c r="DJ92" s="433">
        <v>2</v>
      </c>
      <c r="DK92" s="197" t="s">
        <v>267</v>
      </c>
      <c r="DL92" s="191">
        <v>2500</v>
      </c>
      <c r="DM92" s="433">
        <f t="shared" si="63"/>
        <v>5000</v>
      </c>
      <c r="DN92" s="433">
        <f t="shared" si="64"/>
        <v>60000</v>
      </c>
      <c r="DO92" s="190"/>
      <c r="DP92" s="190"/>
      <c r="DQ92" s="190"/>
      <c r="DR92" s="190"/>
      <c r="DS92" s="190"/>
      <c r="DT92" s="190"/>
      <c r="DU92" s="190"/>
      <c r="DV92" s="190"/>
    </row>
    <row r="93" spans="2:126" ht="38.25" x14ac:dyDescent="0.25">
      <c r="B93" s="478" t="s">
        <v>268</v>
      </c>
      <c r="C93" s="184">
        <v>1</v>
      </c>
      <c r="D93" s="199" t="s">
        <v>267</v>
      </c>
      <c r="E93" s="184">
        <v>1500</v>
      </c>
      <c r="F93" s="184">
        <f t="shared" si="46"/>
        <v>1500</v>
      </c>
      <c r="G93" s="184">
        <f t="shared" si="47"/>
        <v>18000</v>
      </c>
      <c r="M93" s="190"/>
      <c r="N93" s="190"/>
      <c r="O93" s="190"/>
      <c r="P93" s="190"/>
      <c r="Q93" s="307" t="s">
        <v>268</v>
      </c>
      <c r="R93" s="434">
        <v>2</v>
      </c>
      <c r="S93" s="197" t="s">
        <v>267</v>
      </c>
      <c r="T93" s="191">
        <v>1500</v>
      </c>
      <c r="U93" s="433">
        <f t="shared" si="48"/>
        <v>3000</v>
      </c>
      <c r="V93" s="433">
        <f t="shared" si="49"/>
        <v>36000</v>
      </c>
      <c r="W93" s="190"/>
      <c r="X93" s="190"/>
      <c r="Y93" s="190"/>
      <c r="Z93" s="190"/>
      <c r="AA93" s="190"/>
      <c r="AB93" s="190"/>
      <c r="AC93" s="443" t="s">
        <v>268</v>
      </c>
      <c r="AD93" s="433">
        <v>2</v>
      </c>
      <c r="AE93" s="197" t="s">
        <v>267</v>
      </c>
      <c r="AF93" s="191">
        <v>1500</v>
      </c>
      <c r="AG93" s="433">
        <f t="shared" si="65"/>
        <v>3000</v>
      </c>
      <c r="AH93" s="433">
        <f t="shared" si="50"/>
        <v>36000</v>
      </c>
      <c r="AI93" s="190"/>
      <c r="AJ93" s="190"/>
      <c r="AK93" s="190"/>
      <c r="AL93" s="190"/>
      <c r="AM93" s="190"/>
      <c r="AN93" s="190"/>
      <c r="AO93" s="443" t="s">
        <v>268</v>
      </c>
      <c r="AP93" s="433">
        <v>2</v>
      </c>
      <c r="AQ93" s="197" t="s">
        <v>267</v>
      </c>
      <c r="AR93" s="191">
        <v>1500</v>
      </c>
      <c r="AS93" s="433">
        <f t="shared" si="51"/>
        <v>3000</v>
      </c>
      <c r="AT93" s="433">
        <f t="shared" si="52"/>
        <v>36000</v>
      </c>
      <c r="AU93" s="190"/>
      <c r="AV93" s="190"/>
      <c r="AW93" s="190"/>
      <c r="AX93" s="190"/>
      <c r="AY93" s="190"/>
      <c r="AZ93" s="190"/>
      <c r="BA93" s="443" t="s">
        <v>268</v>
      </c>
      <c r="BB93" s="433">
        <v>2</v>
      </c>
      <c r="BC93" s="197" t="s">
        <v>267</v>
      </c>
      <c r="BD93" s="191">
        <v>1500</v>
      </c>
      <c r="BE93" s="433">
        <f t="shared" si="53"/>
        <v>3000</v>
      </c>
      <c r="BF93" s="433">
        <f t="shared" si="54"/>
        <v>36000</v>
      </c>
      <c r="BG93" s="190"/>
      <c r="BH93" s="190"/>
      <c r="BI93" s="190"/>
      <c r="BJ93" s="190"/>
      <c r="BK93" s="190"/>
      <c r="BL93" s="190"/>
      <c r="BM93" s="443" t="s">
        <v>268</v>
      </c>
      <c r="BN93" s="433">
        <v>2</v>
      </c>
      <c r="BO93" s="197" t="s">
        <v>267</v>
      </c>
      <c r="BP93" s="191">
        <v>1500</v>
      </c>
      <c r="BQ93" s="433">
        <f t="shared" si="55"/>
        <v>3000</v>
      </c>
      <c r="BR93" s="433">
        <f t="shared" si="56"/>
        <v>36000</v>
      </c>
      <c r="BS93" s="190"/>
      <c r="BT93" s="190"/>
      <c r="BU93" s="190"/>
      <c r="BV93" s="190"/>
      <c r="BW93" s="190"/>
      <c r="BX93" s="190"/>
      <c r="BY93" s="443" t="s">
        <v>268</v>
      </c>
      <c r="BZ93" s="433">
        <v>2</v>
      </c>
      <c r="CA93" s="197" t="s">
        <v>267</v>
      </c>
      <c r="CB93" s="191">
        <v>1500</v>
      </c>
      <c r="CC93" s="433">
        <f t="shared" si="57"/>
        <v>3000</v>
      </c>
      <c r="CD93" s="433">
        <f t="shared" si="58"/>
        <v>36000</v>
      </c>
      <c r="CE93" s="190"/>
      <c r="CF93" s="190"/>
      <c r="CG93" s="190"/>
      <c r="CH93" s="190"/>
      <c r="CI93" s="190"/>
      <c r="CJ93" s="190"/>
      <c r="CK93" s="443" t="s">
        <v>268</v>
      </c>
      <c r="CL93" s="433">
        <v>2</v>
      </c>
      <c r="CM93" s="197" t="s">
        <v>267</v>
      </c>
      <c r="CN93" s="191">
        <v>1500</v>
      </c>
      <c r="CO93" s="433">
        <f t="shared" si="59"/>
        <v>3000</v>
      </c>
      <c r="CP93" s="433">
        <f t="shared" si="60"/>
        <v>36000</v>
      </c>
      <c r="CQ93" s="190"/>
      <c r="CR93" s="190"/>
      <c r="CS93" s="190"/>
      <c r="CT93" s="190"/>
      <c r="CU93" s="190"/>
      <c r="CV93" s="190"/>
      <c r="CW93" s="443" t="s">
        <v>268</v>
      </c>
      <c r="CX93" s="433">
        <v>2</v>
      </c>
      <c r="CY93" s="197" t="s">
        <v>267</v>
      </c>
      <c r="CZ93" s="191">
        <v>1500</v>
      </c>
      <c r="DA93" s="433">
        <f t="shared" si="61"/>
        <v>3000</v>
      </c>
      <c r="DB93" s="433">
        <f t="shared" si="62"/>
        <v>36000</v>
      </c>
      <c r="DC93" s="190"/>
      <c r="DD93" s="190"/>
      <c r="DE93" s="190"/>
      <c r="DF93" s="190"/>
      <c r="DG93" s="190"/>
      <c r="DH93" s="190"/>
      <c r="DI93" s="443" t="s">
        <v>268</v>
      </c>
      <c r="DJ93" s="433">
        <v>2</v>
      </c>
      <c r="DK93" s="197" t="s">
        <v>267</v>
      </c>
      <c r="DL93" s="191">
        <v>1500</v>
      </c>
      <c r="DM93" s="433">
        <f t="shared" si="63"/>
        <v>3000</v>
      </c>
      <c r="DN93" s="433">
        <f t="shared" si="64"/>
        <v>36000</v>
      </c>
      <c r="DO93" s="190"/>
      <c r="DP93" s="190"/>
      <c r="DQ93" s="190"/>
      <c r="DR93" s="190"/>
      <c r="DS93" s="190"/>
      <c r="DT93" s="190"/>
      <c r="DU93" s="190"/>
      <c r="DV93" s="190"/>
    </row>
    <row r="94" spans="2:126" x14ac:dyDescent="0.25">
      <c r="B94" s="479" t="s">
        <v>114</v>
      </c>
      <c r="C94" s="300">
        <f>SUM(C81:C93)</f>
        <v>18</v>
      </c>
      <c r="D94" s="435"/>
      <c r="E94" s="435"/>
      <c r="F94" s="480"/>
      <c r="G94" s="480"/>
      <c r="M94" s="190"/>
      <c r="N94" s="190"/>
      <c r="O94" s="190"/>
      <c r="P94" s="190"/>
      <c r="Q94" s="453" t="s">
        <v>114</v>
      </c>
      <c r="R94" s="453">
        <f>SUM(R81:R93)</f>
        <v>19</v>
      </c>
      <c r="S94" s="190"/>
      <c r="T94" s="190"/>
      <c r="U94" s="190"/>
      <c r="V94" s="190"/>
      <c r="W94" s="190"/>
      <c r="X94" s="190"/>
      <c r="Y94" s="190"/>
      <c r="Z94" s="190"/>
      <c r="AA94" s="190"/>
      <c r="AB94" s="190"/>
      <c r="AC94" s="453" t="s">
        <v>114</v>
      </c>
      <c r="AD94" s="453">
        <f>SUM(AD81:AD93)</f>
        <v>20</v>
      </c>
      <c r="AE94" s="190"/>
      <c r="AF94" s="190"/>
      <c r="AG94" s="190"/>
      <c r="AH94" s="190"/>
      <c r="AI94" s="190"/>
      <c r="AJ94" s="190"/>
      <c r="AK94" s="190"/>
      <c r="AL94" s="190"/>
      <c r="AM94" s="190"/>
      <c r="AN94" s="190"/>
      <c r="AO94" s="453" t="s">
        <v>114</v>
      </c>
      <c r="AP94" s="453">
        <f>SUM(AP81:AP93)</f>
        <v>21</v>
      </c>
      <c r="AQ94" s="190"/>
      <c r="AR94" s="190"/>
      <c r="AS94" s="190"/>
      <c r="AT94" s="190"/>
      <c r="AU94" s="190"/>
      <c r="AV94" s="190"/>
      <c r="AW94" s="190"/>
      <c r="AX94" s="190"/>
      <c r="AY94" s="190"/>
      <c r="AZ94" s="190"/>
      <c r="BA94" s="453" t="s">
        <v>114</v>
      </c>
      <c r="BB94" s="453">
        <f>SUM(BB81:BB93)</f>
        <v>23</v>
      </c>
      <c r="BC94" s="190"/>
      <c r="BD94" s="190"/>
      <c r="BE94" s="190"/>
      <c r="BF94" s="190"/>
      <c r="BG94" s="190"/>
      <c r="BH94" s="190"/>
      <c r="BI94" s="190"/>
      <c r="BJ94" s="190"/>
      <c r="BK94" s="190"/>
      <c r="BL94" s="190"/>
      <c r="BM94" s="453" t="s">
        <v>114</v>
      </c>
      <c r="BN94" s="453">
        <f>SUM(BN81:BN93)</f>
        <v>23</v>
      </c>
      <c r="BO94" s="190"/>
      <c r="BP94" s="190"/>
      <c r="BQ94" s="190"/>
      <c r="BR94" s="190"/>
      <c r="BS94" s="190"/>
      <c r="BT94" s="190"/>
      <c r="BU94" s="190"/>
      <c r="BV94" s="190"/>
      <c r="BW94" s="190"/>
      <c r="BX94" s="190"/>
      <c r="BY94" s="453" t="s">
        <v>114</v>
      </c>
      <c r="BZ94" s="453">
        <f>SUM(BZ81:BZ93)</f>
        <v>24</v>
      </c>
      <c r="CA94" s="190"/>
      <c r="CB94" s="190"/>
      <c r="CC94" s="190"/>
      <c r="CD94" s="190"/>
      <c r="CE94" s="190"/>
      <c r="CF94" s="190"/>
      <c r="CG94" s="190"/>
      <c r="CH94" s="190"/>
      <c r="CI94" s="190"/>
      <c r="CJ94" s="190"/>
      <c r="CK94" s="453" t="s">
        <v>114</v>
      </c>
      <c r="CL94" s="453">
        <f>SUM(CL81:CL93)</f>
        <v>25</v>
      </c>
      <c r="CM94" s="190"/>
      <c r="CN94" s="190"/>
      <c r="CO94" s="190"/>
      <c r="CP94" s="190"/>
      <c r="CQ94" s="190"/>
      <c r="CR94" s="190"/>
      <c r="CS94" s="190"/>
      <c r="CT94" s="190"/>
      <c r="CU94" s="190"/>
      <c r="CV94" s="190"/>
      <c r="CW94" s="453" t="s">
        <v>114</v>
      </c>
      <c r="CX94" s="453">
        <f>SUM(CX81:CX93)</f>
        <v>25</v>
      </c>
      <c r="CY94" s="190"/>
      <c r="CZ94" s="190"/>
      <c r="DA94" s="190"/>
      <c r="DB94" s="190"/>
      <c r="DC94" s="190"/>
      <c r="DD94" s="190"/>
      <c r="DE94" s="190"/>
      <c r="DF94" s="190"/>
      <c r="DG94" s="190"/>
      <c r="DH94" s="190"/>
      <c r="DI94" s="501" t="s">
        <v>114</v>
      </c>
      <c r="DJ94" s="453">
        <f>SUM(DJ81:DJ93)</f>
        <v>25</v>
      </c>
      <c r="DK94" s="190"/>
      <c r="DL94" s="190"/>
      <c r="DM94" s="190"/>
      <c r="DN94" s="190"/>
      <c r="DO94" s="190"/>
      <c r="DP94" s="190"/>
      <c r="DQ94" s="190"/>
      <c r="DR94" s="190"/>
      <c r="DS94" s="190"/>
      <c r="DT94" s="190"/>
      <c r="DU94" s="190"/>
      <c r="DV94" s="190"/>
    </row>
    <row r="95" spans="2:126" x14ac:dyDescent="0.25">
      <c r="B95" s="464"/>
      <c r="C95" s="435"/>
      <c r="D95" s="435"/>
      <c r="E95" s="435"/>
      <c r="F95" s="480"/>
      <c r="G95" s="480"/>
      <c r="R95" s="190"/>
      <c r="AP95" s="190"/>
      <c r="BB95" s="190"/>
      <c r="BN95" s="190"/>
      <c r="BX95" s="190"/>
      <c r="BZ95" s="190"/>
      <c r="CL95" s="190"/>
      <c r="CX95" s="190"/>
      <c r="DJ95" s="190"/>
    </row>
    <row r="97" spans="2:124" x14ac:dyDescent="0.25">
      <c r="B97" s="301" t="s">
        <v>541</v>
      </c>
      <c r="C97" s="303"/>
      <c r="D97" s="302"/>
      <c r="E97" s="480"/>
      <c r="I97" s="480"/>
      <c r="J97" s="480"/>
      <c r="K97" s="480"/>
      <c r="L97" s="480"/>
      <c r="M97" s="480"/>
      <c r="N97" s="480"/>
      <c r="O97" s="480"/>
      <c r="P97" s="437"/>
    </row>
    <row r="98" spans="2:124" x14ac:dyDescent="0.25">
      <c r="E98" s="480"/>
      <c r="F98" s="480"/>
      <c r="G98" s="480"/>
      <c r="H98" s="480"/>
      <c r="I98" s="480"/>
      <c r="J98" s="480"/>
      <c r="K98" s="480"/>
      <c r="L98" s="480"/>
      <c r="M98" s="480"/>
      <c r="N98" s="480"/>
      <c r="O98" s="480"/>
      <c r="P98" s="480"/>
    </row>
    <row r="99" spans="2:124" x14ac:dyDescent="0.25">
      <c r="E99" s="776" t="s">
        <v>2</v>
      </c>
      <c r="F99" s="777"/>
      <c r="G99" s="777"/>
      <c r="H99" s="777"/>
      <c r="I99" s="777"/>
      <c r="J99" s="777"/>
      <c r="K99" s="777"/>
      <c r="L99" s="777"/>
      <c r="M99" s="777"/>
      <c r="N99" s="777"/>
      <c r="O99" s="777"/>
      <c r="P99" s="778"/>
      <c r="Q99" s="776" t="s">
        <v>14</v>
      </c>
      <c r="R99" s="777"/>
      <c r="S99" s="777"/>
      <c r="T99" s="777"/>
      <c r="U99" s="777"/>
      <c r="V99" s="777"/>
      <c r="W99" s="777"/>
      <c r="X99" s="777"/>
      <c r="Y99" s="777"/>
      <c r="Z99" s="777"/>
      <c r="AA99" s="777"/>
      <c r="AB99" s="778"/>
      <c r="AC99" s="776" t="s">
        <v>15</v>
      </c>
      <c r="AD99" s="777"/>
      <c r="AE99" s="777"/>
      <c r="AF99" s="777"/>
      <c r="AG99" s="777"/>
      <c r="AH99" s="777"/>
      <c r="AI99" s="777"/>
      <c r="AJ99" s="777"/>
      <c r="AK99" s="777"/>
      <c r="AL99" s="777"/>
      <c r="AM99" s="777"/>
      <c r="AN99" s="778"/>
      <c r="AO99" s="776" t="s">
        <v>16</v>
      </c>
      <c r="AP99" s="777"/>
      <c r="AQ99" s="777"/>
      <c r="AR99" s="777"/>
      <c r="AS99" s="777"/>
      <c r="AT99" s="777"/>
      <c r="AU99" s="777"/>
      <c r="AV99" s="777"/>
      <c r="AW99" s="777"/>
      <c r="AX99" s="777"/>
      <c r="AY99" s="777"/>
      <c r="AZ99" s="778"/>
      <c r="BA99" s="776" t="s">
        <v>17</v>
      </c>
      <c r="BB99" s="777"/>
      <c r="BC99" s="777"/>
      <c r="BD99" s="777"/>
      <c r="BE99" s="777"/>
      <c r="BF99" s="777"/>
      <c r="BG99" s="777"/>
      <c r="BH99" s="777"/>
      <c r="BI99" s="777"/>
      <c r="BJ99" s="777"/>
      <c r="BK99" s="777"/>
      <c r="BL99" s="778"/>
      <c r="BM99" s="776" t="s">
        <v>18</v>
      </c>
      <c r="BN99" s="777"/>
      <c r="BO99" s="777"/>
      <c r="BP99" s="777"/>
      <c r="BQ99" s="777"/>
      <c r="BR99" s="777"/>
      <c r="BS99" s="777"/>
      <c r="BT99" s="777"/>
      <c r="BU99" s="777"/>
      <c r="BV99" s="777"/>
      <c r="BW99" s="777"/>
      <c r="BX99" s="778"/>
      <c r="BY99" s="776" t="s">
        <v>19</v>
      </c>
      <c r="BZ99" s="777"/>
      <c r="CA99" s="777"/>
      <c r="CB99" s="777"/>
      <c r="CC99" s="777"/>
      <c r="CD99" s="777"/>
      <c r="CE99" s="777"/>
      <c r="CF99" s="777"/>
      <c r="CG99" s="777"/>
      <c r="CH99" s="777"/>
      <c r="CI99" s="777"/>
      <c r="CJ99" s="778"/>
      <c r="CK99" s="776" t="s">
        <v>20</v>
      </c>
      <c r="CL99" s="777"/>
      <c r="CM99" s="777"/>
      <c r="CN99" s="777"/>
      <c r="CO99" s="777"/>
      <c r="CP99" s="777"/>
      <c r="CQ99" s="777"/>
      <c r="CR99" s="777"/>
      <c r="CS99" s="777"/>
      <c r="CT99" s="777"/>
      <c r="CU99" s="777"/>
      <c r="CV99" s="778"/>
      <c r="CW99" s="776" t="s">
        <v>21</v>
      </c>
      <c r="CX99" s="777"/>
      <c r="CY99" s="777"/>
      <c r="CZ99" s="777"/>
      <c r="DA99" s="777"/>
      <c r="DB99" s="777"/>
      <c r="DC99" s="777"/>
      <c r="DD99" s="777"/>
      <c r="DE99" s="777"/>
      <c r="DF99" s="777"/>
      <c r="DG99" s="777"/>
      <c r="DH99" s="778"/>
      <c r="DI99" s="776" t="s">
        <v>22</v>
      </c>
      <c r="DJ99" s="777"/>
      <c r="DK99" s="777"/>
      <c r="DL99" s="777"/>
      <c r="DM99" s="777"/>
      <c r="DN99" s="777"/>
      <c r="DO99" s="777"/>
      <c r="DP99" s="777"/>
      <c r="DQ99" s="777"/>
      <c r="DR99" s="777"/>
      <c r="DS99" s="777"/>
      <c r="DT99" s="778"/>
    </row>
    <row r="100" spans="2:124" x14ac:dyDescent="0.25">
      <c r="B100" s="300" t="s">
        <v>248</v>
      </c>
      <c r="C100" s="300" t="s">
        <v>169</v>
      </c>
      <c r="D100" s="300" t="s">
        <v>141</v>
      </c>
      <c r="E100" s="300" t="s">
        <v>0</v>
      </c>
      <c r="F100" s="300" t="s">
        <v>1</v>
      </c>
      <c r="G100" s="300" t="s">
        <v>49</v>
      </c>
      <c r="H100" s="300" t="s">
        <v>50</v>
      </c>
      <c r="I100" s="300" t="s">
        <v>51</v>
      </c>
      <c r="J100" s="300" t="s">
        <v>52</v>
      </c>
      <c r="K100" s="300" t="s">
        <v>53</v>
      </c>
      <c r="L100" s="300" t="s">
        <v>54</v>
      </c>
      <c r="M100" s="300" t="s">
        <v>55</v>
      </c>
      <c r="N100" s="300" t="s">
        <v>56</v>
      </c>
      <c r="O100" s="300" t="s">
        <v>57</v>
      </c>
      <c r="P100" s="300" t="s">
        <v>58</v>
      </c>
      <c r="Q100" s="300" t="s">
        <v>0</v>
      </c>
      <c r="R100" s="300" t="s">
        <v>1</v>
      </c>
      <c r="S100" s="300" t="s">
        <v>49</v>
      </c>
      <c r="T100" s="300" t="s">
        <v>50</v>
      </c>
      <c r="U100" s="300" t="s">
        <v>51</v>
      </c>
      <c r="V100" s="300" t="s">
        <v>52</v>
      </c>
      <c r="W100" s="300" t="s">
        <v>53</v>
      </c>
      <c r="X100" s="300" t="s">
        <v>54</v>
      </c>
      <c r="Y100" s="300" t="s">
        <v>55</v>
      </c>
      <c r="Z100" s="300" t="s">
        <v>56</v>
      </c>
      <c r="AA100" s="300" t="s">
        <v>57</v>
      </c>
      <c r="AB100" s="300" t="s">
        <v>58</v>
      </c>
      <c r="AC100" s="300" t="s">
        <v>0</v>
      </c>
      <c r="AD100" s="300" t="s">
        <v>1</v>
      </c>
      <c r="AE100" s="300" t="s">
        <v>49</v>
      </c>
      <c r="AF100" s="300" t="s">
        <v>50</v>
      </c>
      <c r="AG100" s="300" t="s">
        <v>51</v>
      </c>
      <c r="AH100" s="300" t="s">
        <v>52</v>
      </c>
      <c r="AI100" s="300" t="s">
        <v>53</v>
      </c>
      <c r="AJ100" s="300" t="s">
        <v>54</v>
      </c>
      <c r="AK100" s="300" t="s">
        <v>55</v>
      </c>
      <c r="AL100" s="300" t="s">
        <v>56</v>
      </c>
      <c r="AM100" s="300" t="s">
        <v>57</v>
      </c>
      <c r="AN100" s="300" t="s">
        <v>58</v>
      </c>
      <c r="AO100" s="300" t="s">
        <v>0</v>
      </c>
      <c r="AP100" s="300" t="s">
        <v>1</v>
      </c>
      <c r="AQ100" s="300" t="s">
        <v>49</v>
      </c>
      <c r="AR100" s="300" t="s">
        <v>50</v>
      </c>
      <c r="AS100" s="300" t="s">
        <v>51</v>
      </c>
      <c r="AT100" s="300" t="s">
        <v>52</v>
      </c>
      <c r="AU100" s="300" t="s">
        <v>53</v>
      </c>
      <c r="AV100" s="300" t="s">
        <v>54</v>
      </c>
      <c r="AW100" s="300" t="s">
        <v>55</v>
      </c>
      <c r="AX100" s="300" t="s">
        <v>56</v>
      </c>
      <c r="AY100" s="300" t="s">
        <v>57</v>
      </c>
      <c r="AZ100" s="300" t="s">
        <v>58</v>
      </c>
      <c r="BA100" s="300" t="s">
        <v>0</v>
      </c>
      <c r="BB100" s="300" t="s">
        <v>1</v>
      </c>
      <c r="BC100" s="300" t="s">
        <v>49</v>
      </c>
      <c r="BD100" s="300" t="s">
        <v>50</v>
      </c>
      <c r="BE100" s="300" t="s">
        <v>51</v>
      </c>
      <c r="BF100" s="300" t="s">
        <v>52</v>
      </c>
      <c r="BG100" s="300" t="s">
        <v>53</v>
      </c>
      <c r="BH100" s="300" t="s">
        <v>54</v>
      </c>
      <c r="BI100" s="300" t="s">
        <v>55</v>
      </c>
      <c r="BJ100" s="300" t="s">
        <v>56</v>
      </c>
      <c r="BK100" s="300" t="s">
        <v>57</v>
      </c>
      <c r="BL100" s="300" t="s">
        <v>58</v>
      </c>
      <c r="BM100" s="300" t="s">
        <v>0</v>
      </c>
      <c r="BN100" s="300" t="s">
        <v>1</v>
      </c>
      <c r="BO100" s="300" t="s">
        <v>49</v>
      </c>
      <c r="BP100" s="300" t="s">
        <v>50</v>
      </c>
      <c r="BQ100" s="300" t="s">
        <v>51</v>
      </c>
      <c r="BR100" s="300" t="s">
        <v>52</v>
      </c>
      <c r="BS100" s="300" t="s">
        <v>53</v>
      </c>
      <c r="BT100" s="300" t="s">
        <v>54</v>
      </c>
      <c r="BU100" s="300" t="s">
        <v>55</v>
      </c>
      <c r="BV100" s="300" t="s">
        <v>56</v>
      </c>
      <c r="BW100" s="300" t="s">
        <v>57</v>
      </c>
      <c r="BX100" s="300" t="s">
        <v>58</v>
      </c>
      <c r="BY100" s="300" t="s">
        <v>0</v>
      </c>
      <c r="BZ100" s="300" t="s">
        <v>1</v>
      </c>
      <c r="CA100" s="300" t="s">
        <v>49</v>
      </c>
      <c r="CB100" s="300" t="s">
        <v>50</v>
      </c>
      <c r="CC100" s="300" t="s">
        <v>51</v>
      </c>
      <c r="CD100" s="300" t="s">
        <v>52</v>
      </c>
      <c r="CE100" s="300" t="s">
        <v>53</v>
      </c>
      <c r="CF100" s="300" t="s">
        <v>54</v>
      </c>
      <c r="CG100" s="300" t="s">
        <v>55</v>
      </c>
      <c r="CH100" s="300" t="s">
        <v>56</v>
      </c>
      <c r="CI100" s="300" t="s">
        <v>57</v>
      </c>
      <c r="CJ100" s="300" t="s">
        <v>58</v>
      </c>
      <c r="CK100" s="300" t="s">
        <v>0</v>
      </c>
      <c r="CL100" s="300" t="s">
        <v>1</v>
      </c>
      <c r="CM100" s="300" t="s">
        <v>49</v>
      </c>
      <c r="CN100" s="300" t="s">
        <v>50</v>
      </c>
      <c r="CO100" s="300" t="s">
        <v>51</v>
      </c>
      <c r="CP100" s="300" t="s">
        <v>52</v>
      </c>
      <c r="CQ100" s="300" t="s">
        <v>53</v>
      </c>
      <c r="CR100" s="300" t="s">
        <v>54</v>
      </c>
      <c r="CS100" s="300" t="s">
        <v>55</v>
      </c>
      <c r="CT100" s="300" t="s">
        <v>56</v>
      </c>
      <c r="CU100" s="300" t="s">
        <v>57</v>
      </c>
      <c r="CV100" s="300" t="s">
        <v>58</v>
      </c>
      <c r="CW100" s="300" t="s">
        <v>0</v>
      </c>
      <c r="CX100" s="300" t="s">
        <v>1</v>
      </c>
      <c r="CY100" s="300" t="s">
        <v>49</v>
      </c>
      <c r="CZ100" s="300" t="s">
        <v>50</v>
      </c>
      <c r="DA100" s="300" t="s">
        <v>51</v>
      </c>
      <c r="DB100" s="300" t="s">
        <v>52</v>
      </c>
      <c r="DC100" s="300" t="s">
        <v>53</v>
      </c>
      <c r="DD100" s="300" t="s">
        <v>54</v>
      </c>
      <c r="DE100" s="300" t="s">
        <v>55</v>
      </c>
      <c r="DF100" s="300" t="s">
        <v>56</v>
      </c>
      <c r="DG100" s="300" t="s">
        <v>57</v>
      </c>
      <c r="DH100" s="300" t="s">
        <v>58</v>
      </c>
      <c r="DI100" s="300" t="s">
        <v>0</v>
      </c>
      <c r="DJ100" s="300" t="s">
        <v>1</v>
      </c>
      <c r="DK100" s="300" t="s">
        <v>49</v>
      </c>
      <c r="DL100" s="300" t="s">
        <v>50</v>
      </c>
      <c r="DM100" s="300" t="s">
        <v>51</v>
      </c>
      <c r="DN100" s="300" t="s">
        <v>52</v>
      </c>
      <c r="DO100" s="300" t="s">
        <v>53</v>
      </c>
      <c r="DP100" s="300" t="s">
        <v>54</v>
      </c>
      <c r="DQ100" s="300" t="s">
        <v>55</v>
      </c>
      <c r="DR100" s="300" t="s">
        <v>56</v>
      </c>
      <c r="DS100" s="300" t="s">
        <v>57</v>
      </c>
      <c r="DT100" s="300" t="s">
        <v>58</v>
      </c>
    </row>
    <row r="101" spans="2:124" x14ac:dyDescent="0.25">
      <c r="B101" s="842" t="s">
        <v>253</v>
      </c>
      <c r="C101" s="843" t="s">
        <v>269</v>
      </c>
      <c r="D101" s="438" t="s">
        <v>254</v>
      </c>
      <c r="E101" s="184">
        <f>F$81</f>
        <v>6000</v>
      </c>
      <c r="F101" s="184">
        <f t="shared" ref="F101:AB101" si="66">E101</f>
        <v>6000</v>
      </c>
      <c r="G101" s="184">
        <f t="shared" si="66"/>
        <v>6000</v>
      </c>
      <c r="H101" s="184">
        <f t="shared" si="66"/>
        <v>6000</v>
      </c>
      <c r="I101" s="184">
        <f t="shared" si="66"/>
        <v>6000</v>
      </c>
      <c r="J101" s="184">
        <f t="shared" si="66"/>
        <v>6000</v>
      </c>
      <c r="K101" s="184">
        <f t="shared" si="66"/>
        <v>6000</v>
      </c>
      <c r="L101" s="184">
        <f t="shared" si="66"/>
        <v>6000</v>
      </c>
      <c r="M101" s="184">
        <f t="shared" si="66"/>
        <v>6000</v>
      </c>
      <c r="N101" s="184">
        <f t="shared" si="66"/>
        <v>6000</v>
      </c>
      <c r="O101" s="184">
        <f t="shared" si="66"/>
        <v>6000</v>
      </c>
      <c r="P101" s="184">
        <f t="shared" si="66"/>
        <v>6000</v>
      </c>
      <c r="Q101" s="184">
        <f>T81</f>
        <v>6000</v>
      </c>
      <c r="R101" s="184">
        <f>Q101</f>
        <v>6000</v>
      </c>
      <c r="S101" s="184">
        <f t="shared" si="66"/>
        <v>6000</v>
      </c>
      <c r="T101" s="184">
        <f t="shared" si="66"/>
        <v>6000</v>
      </c>
      <c r="U101" s="184">
        <f t="shared" si="66"/>
        <v>6000</v>
      </c>
      <c r="V101" s="184">
        <f t="shared" si="66"/>
        <v>6000</v>
      </c>
      <c r="W101" s="184">
        <f t="shared" si="66"/>
        <v>6000</v>
      </c>
      <c r="X101" s="184">
        <f t="shared" si="66"/>
        <v>6000</v>
      </c>
      <c r="Y101" s="184">
        <f t="shared" si="66"/>
        <v>6000</v>
      </c>
      <c r="Z101" s="184">
        <f t="shared" si="66"/>
        <v>6000</v>
      </c>
      <c r="AA101" s="184">
        <f t="shared" si="66"/>
        <v>6000</v>
      </c>
      <c r="AB101" s="184">
        <f t="shared" si="66"/>
        <v>6000</v>
      </c>
      <c r="AC101" s="184">
        <f>AF81</f>
        <v>6000</v>
      </c>
      <c r="AD101" s="184">
        <f>AC101</f>
        <v>6000</v>
      </c>
      <c r="AE101" s="184">
        <f t="shared" ref="AE101:AN101" si="67">AD101</f>
        <v>6000</v>
      </c>
      <c r="AF101" s="184">
        <f t="shared" si="67"/>
        <v>6000</v>
      </c>
      <c r="AG101" s="184">
        <f t="shared" si="67"/>
        <v>6000</v>
      </c>
      <c r="AH101" s="184">
        <f t="shared" si="67"/>
        <v>6000</v>
      </c>
      <c r="AI101" s="184">
        <f t="shared" si="67"/>
        <v>6000</v>
      </c>
      <c r="AJ101" s="184">
        <f t="shared" si="67"/>
        <v>6000</v>
      </c>
      <c r="AK101" s="184">
        <f t="shared" si="67"/>
        <v>6000</v>
      </c>
      <c r="AL101" s="184">
        <f t="shared" si="67"/>
        <v>6000</v>
      </c>
      <c r="AM101" s="184">
        <f t="shared" si="67"/>
        <v>6000</v>
      </c>
      <c r="AN101" s="184">
        <f t="shared" si="67"/>
        <v>6000</v>
      </c>
      <c r="AO101" s="184">
        <f>AR81</f>
        <v>6000</v>
      </c>
      <c r="AP101" s="184">
        <f>AO101</f>
        <v>6000</v>
      </c>
      <c r="AQ101" s="184">
        <f t="shared" ref="AQ101:AZ101" si="68">AP101</f>
        <v>6000</v>
      </c>
      <c r="AR101" s="184">
        <f t="shared" si="68"/>
        <v>6000</v>
      </c>
      <c r="AS101" s="184">
        <f t="shared" si="68"/>
        <v>6000</v>
      </c>
      <c r="AT101" s="184">
        <f t="shared" si="68"/>
        <v>6000</v>
      </c>
      <c r="AU101" s="184">
        <f t="shared" si="68"/>
        <v>6000</v>
      </c>
      <c r="AV101" s="184">
        <f t="shared" si="68"/>
        <v>6000</v>
      </c>
      <c r="AW101" s="184">
        <f t="shared" si="68"/>
        <v>6000</v>
      </c>
      <c r="AX101" s="184">
        <f t="shared" si="68"/>
        <v>6000</v>
      </c>
      <c r="AY101" s="184">
        <f t="shared" si="68"/>
        <v>6000</v>
      </c>
      <c r="AZ101" s="184">
        <f t="shared" si="68"/>
        <v>6000</v>
      </c>
      <c r="BA101" s="184">
        <f>BD81</f>
        <v>6000</v>
      </c>
      <c r="BB101" s="184">
        <f>BA101</f>
        <v>6000</v>
      </c>
      <c r="BC101" s="184">
        <f t="shared" ref="BC101:BL101" si="69">BB101</f>
        <v>6000</v>
      </c>
      <c r="BD101" s="184">
        <f t="shared" si="69"/>
        <v>6000</v>
      </c>
      <c r="BE101" s="184">
        <f t="shared" si="69"/>
        <v>6000</v>
      </c>
      <c r="BF101" s="184">
        <f t="shared" si="69"/>
        <v>6000</v>
      </c>
      <c r="BG101" s="184">
        <f t="shared" si="69"/>
        <v>6000</v>
      </c>
      <c r="BH101" s="184">
        <f t="shared" si="69"/>
        <v>6000</v>
      </c>
      <c r="BI101" s="184">
        <f t="shared" si="69"/>
        <v>6000</v>
      </c>
      <c r="BJ101" s="184">
        <f t="shared" si="69"/>
        <v>6000</v>
      </c>
      <c r="BK101" s="184">
        <f t="shared" si="69"/>
        <v>6000</v>
      </c>
      <c r="BL101" s="184">
        <f t="shared" si="69"/>
        <v>6000</v>
      </c>
      <c r="BM101" s="184">
        <f>BP81</f>
        <v>6000</v>
      </c>
      <c r="BN101" s="184">
        <f>BM101</f>
        <v>6000</v>
      </c>
      <c r="BO101" s="184">
        <f t="shared" ref="BO101:BX101" si="70">BN101</f>
        <v>6000</v>
      </c>
      <c r="BP101" s="184">
        <f t="shared" si="70"/>
        <v>6000</v>
      </c>
      <c r="BQ101" s="184">
        <f t="shared" si="70"/>
        <v>6000</v>
      </c>
      <c r="BR101" s="184">
        <f t="shared" si="70"/>
        <v>6000</v>
      </c>
      <c r="BS101" s="184">
        <f t="shared" si="70"/>
        <v>6000</v>
      </c>
      <c r="BT101" s="184">
        <f t="shared" si="70"/>
        <v>6000</v>
      </c>
      <c r="BU101" s="184">
        <f t="shared" si="70"/>
        <v>6000</v>
      </c>
      <c r="BV101" s="184">
        <f t="shared" si="70"/>
        <v>6000</v>
      </c>
      <c r="BW101" s="184">
        <f t="shared" si="70"/>
        <v>6000</v>
      </c>
      <c r="BX101" s="184">
        <f t="shared" si="70"/>
        <v>6000</v>
      </c>
      <c r="BY101" s="184">
        <f>CB81</f>
        <v>6000</v>
      </c>
      <c r="BZ101" s="184">
        <f>BY101</f>
        <v>6000</v>
      </c>
      <c r="CA101" s="184">
        <f t="shared" ref="CA101:CJ101" si="71">BZ101</f>
        <v>6000</v>
      </c>
      <c r="CB101" s="184">
        <f t="shared" si="71"/>
        <v>6000</v>
      </c>
      <c r="CC101" s="184">
        <f t="shared" si="71"/>
        <v>6000</v>
      </c>
      <c r="CD101" s="184">
        <f t="shared" si="71"/>
        <v>6000</v>
      </c>
      <c r="CE101" s="184">
        <f t="shared" si="71"/>
        <v>6000</v>
      </c>
      <c r="CF101" s="184">
        <f t="shared" si="71"/>
        <v>6000</v>
      </c>
      <c r="CG101" s="184">
        <f t="shared" si="71"/>
        <v>6000</v>
      </c>
      <c r="CH101" s="184">
        <f t="shared" si="71"/>
        <v>6000</v>
      </c>
      <c r="CI101" s="184">
        <f t="shared" si="71"/>
        <v>6000</v>
      </c>
      <c r="CJ101" s="184">
        <f t="shared" si="71"/>
        <v>6000</v>
      </c>
      <c r="CK101" s="184">
        <f>CN81</f>
        <v>6000</v>
      </c>
      <c r="CL101" s="184">
        <f>CK101</f>
        <v>6000</v>
      </c>
      <c r="CM101" s="184">
        <f t="shared" ref="CM101:CV101" si="72">CL101</f>
        <v>6000</v>
      </c>
      <c r="CN101" s="184">
        <f t="shared" si="72"/>
        <v>6000</v>
      </c>
      <c r="CO101" s="184">
        <f t="shared" si="72"/>
        <v>6000</v>
      </c>
      <c r="CP101" s="184">
        <f t="shared" si="72"/>
        <v>6000</v>
      </c>
      <c r="CQ101" s="184">
        <f t="shared" si="72"/>
        <v>6000</v>
      </c>
      <c r="CR101" s="184">
        <f t="shared" si="72"/>
        <v>6000</v>
      </c>
      <c r="CS101" s="184">
        <f t="shared" si="72"/>
        <v>6000</v>
      </c>
      <c r="CT101" s="184">
        <f t="shared" si="72"/>
        <v>6000</v>
      </c>
      <c r="CU101" s="184">
        <f t="shared" si="72"/>
        <v>6000</v>
      </c>
      <c r="CV101" s="184">
        <f t="shared" si="72"/>
        <v>6000</v>
      </c>
      <c r="CW101" s="184">
        <f>CZ81</f>
        <v>6000</v>
      </c>
      <c r="CX101" s="184">
        <f>CW101</f>
        <v>6000</v>
      </c>
      <c r="CY101" s="184">
        <f t="shared" ref="CY101:DH101" si="73">CX101</f>
        <v>6000</v>
      </c>
      <c r="CZ101" s="184">
        <f t="shared" si="73"/>
        <v>6000</v>
      </c>
      <c r="DA101" s="184">
        <f t="shared" si="73"/>
        <v>6000</v>
      </c>
      <c r="DB101" s="184">
        <f t="shared" si="73"/>
        <v>6000</v>
      </c>
      <c r="DC101" s="184">
        <f t="shared" si="73"/>
        <v>6000</v>
      </c>
      <c r="DD101" s="184">
        <f t="shared" si="73"/>
        <v>6000</v>
      </c>
      <c r="DE101" s="184">
        <f t="shared" si="73"/>
        <v>6000</v>
      </c>
      <c r="DF101" s="184">
        <f t="shared" si="73"/>
        <v>6000</v>
      </c>
      <c r="DG101" s="184">
        <f t="shared" si="73"/>
        <v>6000</v>
      </c>
      <c r="DH101" s="184">
        <f t="shared" si="73"/>
        <v>6000</v>
      </c>
      <c r="DI101" s="184">
        <f>DL81</f>
        <v>6000</v>
      </c>
      <c r="DJ101" s="184">
        <f>DI101</f>
        <v>6000</v>
      </c>
      <c r="DK101" s="184">
        <f t="shared" ref="DK101:DT101" si="74">DJ101</f>
        <v>6000</v>
      </c>
      <c r="DL101" s="184">
        <f t="shared" si="74"/>
        <v>6000</v>
      </c>
      <c r="DM101" s="184">
        <f t="shared" si="74"/>
        <v>6000</v>
      </c>
      <c r="DN101" s="184">
        <f t="shared" si="74"/>
        <v>6000</v>
      </c>
      <c r="DO101" s="184">
        <f t="shared" si="74"/>
        <v>6000</v>
      </c>
      <c r="DP101" s="184">
        <f t="shared" si="74"/>
        <v>6000</v>
      </c>
      <c r="DQ101" s="184">
        <f t="shared" si="74"/>
        <v>6000</v>
      </c>
      <c r="DR101" s="184">
        <f t="shared" si="74"/>
        <v>6000</v>
      </c>
      <c r="DS101" s="184">
        <f t="shared" si="74"/>
        <v>6000</v>
      </c>
      <c r="DT101" s="184">
        <f t="shared" si="74"/>
        <v>6000</v>
      </c>
    </row>
    <row r="102" spans="2:124" x14ac:dyDescent="0.25">
      <c r="B102" s="824"/>
      <c r="C102" s="826"/>
      <c r="D102" s="438" t="s">
        <v>270</v>
      </c>
      <c r="E102" s="184"/>
      <c r="F102" s="184"/>
      <c r="G102" s="184"/>
      <c r="H102" s="184"/>
      <c r="I102" s="184"/>
      <c r="J102" s="184"/>
      <c r="K102" s="184">
        <f>J101/2</f>
        <v>3000</v>
      </c>
      <c r="L102" s="184"/>
      <c r="M102" s="184"/>
      <c r="N102" s="184"/>
      <c r="O102" s="184"/>
      <c r="P102" s="184">
        <f>O101/2</f>
        <v>3000</v>
      </c>
      <c r="Q102" s="184"/>
      <c r="R102" s="184"/>
      <c r="S102" s="184"/>
      <c r="T102" s="184"/>
      <c r="U102" s="184"/>
      <c r="V102" s="184"/>
      <c r="W102" s="184">
        <f>V101/2</f>
        <v>3000</v>
      </c>
      <c r="X102" s="184"/>
      <c r="Y102" s="184"/>
      <c r="Z102" s="184"/>
      <c r="AA102" s="184"/>
      <c r="AB102" s="184">
        <f>AA101/2</f>
        <v>3000</v>
      </c>
      <c r="AC102" s="184"/>
      <c r="AD102" s="184"/>
      <c r="AE102" s="184"/>
      <c r="AF102" s="184"/>
      <c r="AG102" s="184"/>
      <c r="AH102" s="184"/>
      <c r="AI102" s="184">
        <f>AH101/2</f>
        <v>3000</v>
      </c>
      <c r="AJ102" s="184"/>
      <c r="AK102" s="184"/>
      <c r="AL102" s="184"/>
      <c r="AM102" s="184"/>
      <c r="AN102" s="184">
        <f>AM101/2</f>
        <v>3000</v>
      </c>
      <c r="AO102" s="184"/>
      <c r="AP102" s="184"/>
      <c r="AQ102" s="184"/>
      <c r="AR102" s="184"/>
      <c r="AS102" s="184"/>
      <c r="AT102" s="184"/>
      <c r="AU102" s="184">
        <f>AT101/2</f>
        <v>3000</v>
      </c>
      <c r="AV102" s="184"/>
      <c r="AW102" s="184"/>
      <c r="AX102" s="184"/>
      <c r="AY102" s="184"/>
      <c r="AZ102" s="184">
        <f>AY101/2</f>
        <v>3000</v>
      </c>
      <c r="BA102" s="184"/>
      <c r="BB102" s="184"/>
      <c r="BC102" s="184"/>
      <c r="BD102" s="184"/>
      <c r="BE102" s="184"/>
      <c r="BF102" s="184"/>
      <c r="BG102" s="184">
        <f>BF101/2</f>
        <v>3000</v>
      </c>
      <c r="BH102" s="184"/>
      <c r="BI102" s="184"/>
      <c r="BJ102" s="184"/>
      <c r="BK102" s="184"/>
      <c r="BL102" s="184">
        <f>BK101/2</f>
        <v>3000</v>
      </c>
      <c r="BM102" s="184"/>
      <c r="BN102" s="184"/>
      <c r="BO102" s="184"/>
      <c r="BP102" s="184"/>
      <c r="BQ102" s="184"/>
      <c r="BR102" s="184"/>
      <c r="BS102" s="184">
        <f>BR101/2</f>
        <v>3000</v>
      </c>
      <c r="BT102" s="184"/>
      <c r="BU102" s="184"/>
      <c r="BV102" s="184"/>
      <c r="BW102" s="184"/>
      <c r="BX102" s="184">
        <f>BW101/2</f>
        <v>3000</v>
      </c>
      <c r="BY102" s="184"/>
      <c r="BZ102" s="184"/>
      <c r="CA102" s="184"/>
      <c r="CB102" s="184"/>
      <c r="CC102" s="184"/>
      <c r="CD102" s="184"/>
      <c r="CE102" s="184">
        <f>CD101/2</f>
        <v>3000</v>
      </c>
      <c r="CF102" s="184"/>
      <c r="CG102" s="184"/>
      <c r="CH102" s="184"/>
      <c r="CI102" s="184"/>
      <c r="CJ102" s="184">
        <f>CI101/2</f>
        <v>3000</v>
      </c>
      <c r="CK102" s="184"/>
      <c r="CL102" s="184"/>
      <c r="CM102" s="184"/>
      <c r="CN102" s="184"/>
      <c r="CO102" s="184"/>
      <c r="CP102" s="184"/>
      <c r="CQ102" s="184">
        <f>CP101/2</f>
        <v>3000</v>
      </c>
      <c r="CR102" s="184"/>
      <c r="CS102" s="184"/>
      <c r="CT102" s="184"/>
      <c r="CU102" s="184"/>
      <c r="CV102" s="184">
        <f>CU101/2</f>
        <v>3000</v>
      </c>
      <c r="CW102" s="184"/>
      <c r="CX102" s="184"/>
      <c r="CY102" s="184"/>
      <c r="CZ102" s="184"/>
      <c r="DA102" s="184"/>
      <c r="DB102" s="184"/>
      <c r="DC102" s="184">
        <f>DB101/2</f>
        <v>3000</v>
      </c>
      <c r="DD102" s="184"/>
      <c r="DE102" s="184"/>
      <c r="DF102" s="184"/>
      <c r="DG102" s="184"/>
      <c r="DH102" s="184">
        <f>DG101/2</f>
        <v>3000</v>
      </c>
      <c r="DI102" s="184"/>
      <c r="DJ102" s="184"/>
      <c r="DK102" s="184"/>
      <c r="DL102" s="184"/>
      <c r="DM102" s="184"/>
      <c r="DN102" s="184"/>
      <c r="DO102" s="184">
        <f>DN101/2</f>
        <v>3000</v>
      </c>
      <c r="DP102" s="184"/>
      <c r="DQ102" s="184"/>
      <c r="DR102" s="184"/>
      <c r="DS102" s="184"/>
      <c r="DT102" s="184">
        <f>DS101/2</f>
        <v>3000</v>
      </c>
    </row>
    <row r="103" spans="2:124" x14ac:dyDescent="0.25">
      <c r="B103" s="824"/>
      <c r="C103" s="826"/>
      <c r="D103" s="438" t="s">
        <v>271</v>
      </c>
      <c r="E103" s="184"/>
      <c r="F103" s="184"/>
      <c r="G103" s="184"/>
      <c r="H103" s="184"/>
      <c r="I103" s="184">
        <f>(((H101/2)+K102/6)/12)*6</f>
        <v>1750</v>
      </c>
      <c r="J103" s="184"/>
      <c r="K103" s="184"/>
      <c r="L103" s="184"/>
      <c r="M103" s="184"/>
      <c r="N103" s="184"/>
      <c r="O103" s="184">
        <f>(((N101/2)+P102/6)/12)*6</f>
        <v>1750</v>
      </c>
      <c r="P103" s="184"/>
      <c r="Q103" s="184"/>
      <c r="R103" s="184"/>
      <c r="S103" s="184"/>
      <c r="T103" s="184"/>
      <c r="U103" s="184">
        <f>(((T101/2)+W102/6)/12)*6</f>
        <v>1750</v>
      </c>
      <c r="V103" s="184"/>
      <c r="W103" s="184"/>
      <c r="X103" s="184"/>
      <c r="Y103" s="184"/>
      <c r="Z103" s="184"/>
      <c r="AA103" s="184">
        <f>(((Z101/2)+AB102/6)/12)*6</f>
        <v>1750</v>
      </c>
      <c r="AB103" s="184"/>
      <c r="AC103" s="184"/>
      <c r="AD103" s="184"/>
      <c r="AE103" s="184"/>
      <c r="AF103" s="184"/>
      <c r="AG103" s="184">
        <f>(((AF101/2)+AI102/6)/12)*6</f>
        <v>1750</v>
      </c>
      <c r="AH103" s="184"/>
      <c r="AI103" s="184"/>
      <c r="AJ103" s="184"/>
      <c r="AK103" s="184"/>
      <c r="AL103" s="184"/>
      <c r="AM103" s="184">
        <f>((AL101+AN102/6)/12)*6</f>
        <v>3250</v>
      </c>
      <c r="AN103" s="184"/>
      <c r="AO103" s="184"/>
      <c r="AP103" s="184"/>
      <c r="AQ103" s="184"/>
      <c r="AR103" s="184"/>
      <c r="AS103" s="184">
        <f>((AR101+AU102/6)/12)*6</f>
        <v>3250</v>
      </c>
      <c r="AT103" s="184"/>
      <c r="AU103" s="184"/>
      <c r="AV103" s="184"/>
      <c r="AW103" s="184"/>
      <c r="AX103" s="184"/>
      <c r="AY103" s="184">
        <f>((AX101+AZ102/6)/12)*6</f>
        <v>3250</v>
      </c>
      <c r="AZ103" s="184"/>
      <c r="BA103" s="184"/>
      <c r="BB103" s="184"/>
      <c r="BC103" s="184"/>
      <c r="BD103" s="184"/>
      <c r="BE103" s="184">
        <f>((BD101+BG102/6)/12)*6</f>
        <v>3250</v>
      </c>
      <c r="BF103" s="184"/>
      <c r="BG103" s="184"/>
      <c r="BH103" s="184"/>
      <c r="BI103" s="184"/>
      <c r="BJ103" s="184"/>
      <c r="BK103" s="184">
        <f>((BJ101+BL102/6)/12)*6</f>
        <v>3250</v>
      </c>
      <c r="BL103" s="184"/>
      <c r="BM103" s="184"/>
      <c r="BN103" s="184"/>
      <c r="BO103" s="184"/>
      <c r="BP103" s="184"/>
      <c r="BQ103" s="184">
        <f>((BP101+BS102/6)/12)*6</f>
        <v>3250</v>
      </c>
      <c r="BR103" s="184"/>
      <c r="BS103" s="184"/>
      <c r="BT103" s="184"/>
      <c r="BU103" s="184"/>
      <c r="BV103" s="184"/>
      <c r="BW103" s="184">
        <f>((BV101+BX102/6)/12)*6</f>
        <v>3250</v>
      </c>
      <c r="BX103" s="184"/>
      <c r="BY103" s="184"/>
      <c r="BZ103" s="184"/>
      <c r="CA103" s="184"/>
      <c r="CB103" s="184"/>
      <c r="CC103" s="184">
        <f>((CB101+CE102/6)/12)*6</f>
        <v>3250</v>
      </c>
      <c r="CD103" s="184"/>
      <c r="CE103" s="184"/>
      <c r="CF103" s="184"/>
      <c r="CG103" s="184"/>
      <c r="CH103" s="184"/>
      <c r="CI103" s="184">
        <f>((CH101+CJ102/6)/12)*6</f>
        <v>3250</v>
      </c>
      <c r="CJ103" s="184"/>
      <c r="CK103" s="184"/>
      <c r="CL103" s="184"/>
      <c r="CM103" s="184"/>
      <c r="CN103" s="184"/>
      <c r="CO103" s="184">
        <f>((CN101+CQ102/6)/12)*6</f>
        <v>3250</v>
      </c>
      <c r="CP103" s="184"/>
      <c r="CQ103" s="184"/>
      <c r="CR103" s="184"/>
      <c r="CS103" s="184"/>
      <c r="CT103" s="184"/>
      <c r="CU103" s="184">
        <f>((CT101+CV102/6)/12)*6</f>
        <v>3250</v>
      </c>
      <c r="CV103" s="184"/>
      <c r="CW103" s="184"/>
      <c r="CX103" s="184"/>
      <c r="CY103" s="184"/>
      <c r="CZ103" s="184"/>
      <c r="DA103" s="184">
        <f>((CZ101+DC102/6)/12)*6</f>
        <v>3250</v>
      </c>
      <c r="DB103" s="184"/>
      <c r="DC103" s="184"/>
      <c r="DD103" s="184"/>
      <c r="DE103" s="184"/>
      <c r="DF103" s="184"/>
      <c r="DG103" s="184">
        <f>((DF101+DH102/6)/12)*6</f>
        <v>3250</v>
      </c>
      <c r="DH103" s="184"/>
      <c r="DI103" s="184"/>
      <c r="DJ103" s="184"/>
      <c r="DK103" s="184"/>
      <c r="DL103" s="184"/>
      <c r="DM103" s="184">
        <f>((DL101+DO102/6)/12)*6</f>
        <v>3250</v>
      </c>
      <c r="DN103" s="184"/>
      <c r="DO103" s="184"/>
      <c r="DP103" s="184"/>
      <c r="DQ103" s="184"/>
      <c r="DR103" s="184"/>
      <c r="DS103" s="184">
        <f>((DR101+DT102/6)/12)*6</f>
        <v>3250</v>
      </c>
      <c r="DT103" s="184"/>
    </row>
    <row r="104" spans="2:124" x14ac:dyDescent="0.25">
      <c r="B104" s="824"/>
      <c r="C104" s="826"/>
      <c r="D104" s="438" t="s">
        <v>592</v>
      </c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>
        <f>(Q101/24)*12</f>
        <v>3000</v>
      </c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>
        <f>(AC101/24)*12</f>
        <v>3000</v>
      </c>
      <c r="AD104" s="184"/>
      <c r="AE104" s="184"/>
      <c r="AF104" s="184"/>
      <c r="AG104" s="184"/>
      <c r="AH104" s="184"/>
      <c r="AI104" s="184"/>
      <c r="AJ104" s="184"/>
      <c r="AK104" s="184"/>
      <c r="AL104" s="184"/>
      <c r="AM104" s="184"/>
      <c r="AN104" s="184"/>
      <c r="AO104" s="184">
        <f>(AO101/24)*12</f>
        <v>3000</v>
      </c>
      <c r="AP104" s="184"/>
      <c r="AQ104" s="184"/>
      <c r="AR104" s="184"/>
      <c r="AS104" s="184"/>
      <c r="AT104" s="184"/>
      <c r="AU104" s="184"/>
      <c r="AV104" s="184"/>
      <c r="AW104" s="184"/>
      <c r="AX104" s="184"/>
      <c r="AY104" s="184"/>
      <c r="AZ104" s="184"/>
      <c r="BA104" s="184">
        <f>(BA101/24)*12</f>
        <v>3000</v>
      </c>
      <c r="BB104" s="184"/>
      <c r="BC104" s="184"/>
      <c r="BD104" s="184"/>
      <c r="BE104" s="184"/>
      <c r="BF104" s="184"/>
      <c r="BG104" s="184"/>
      <c r="BH104" s="184"/>
      <c r="BI104" s="184"/>
      <c r="BJ104" s="184"/>
      <c r="BK104" s="184"/>
      <c r="BL104" s="184"/>
      <c r="BM104" s="184">
        <f>(BM101/24)*12</f>
        <v>3000</v>
      </c>
      <c r="BN104" s="184"/>
      <c r="BO104" s="184"/>
      <c r="BP104" s="184"/>
      <c r="BQ104" s="184"/>
      <c r="BR104" s="184"/>
      <c r="BS104" s="184"/>
      <c r="BT104" s="184"/>
      <c r="BU104" s="184"/>
      <c r="BV104" s="184"/>
      <c r="BW104" s="184"/>
      <c r="BX104" s="184"/>
      <c r="BY104" s="184">
        <f>(BY101/24)*12</f>
        <v>3000</v>
      </c>
      <c r="BZ104" s="184"/>
      <c r="CA104" s="184"/>
      <c r="CB104" s="184"/>
      <c r="CC104" s="184"/>
      <c r="CD104" s="184"/>
      <c r="CE104" s="184"/>
      <c r="CF104" s="184"/>
      <c r="CG104" s="184"/>
      <c r="CH104" s="184"/>
      <c r="CI104" s="184"/>
      <c r="CJ104" s="184"/>
      <c r="CK104" s="184">
        <f>(CK101/24)*12</f>
        <v>3000</v>
      </c>
      <c r="CL104" s="184"/>
      <c r="CM104" s="184"/>
      <c r="CN104" s="184"/>
      <c r="CO104" s="184"/>
      <c r="CP104" s="184"/>
      <c r="CQ104" s="184"/>
      <c r="CR104" s="184"/>
      <c r="CS104" s="184"/>
      <c r="CT104" s="184"/>
      <c r="CU104" s="184"/>
      <c r="CV104" s="184"/>
      <c r="CW104" s="184">
        <f>(CW101/24)*12</f>
        <v>3000</v>
      </c>
      <c r="CX104" s="184"/>
      <c r="CY104" s="184"/>
      <c r="CZ104" s="184"/>
      <c r="DA104" s="184"/>
      <c r="DB104" s="184"/>
      <c r="DC104" s="184"/>
      <c r="DD104" s="184"/>
      <c r="DE104" s="184"/>
      <c r="DF104" s="184"/>
      <c r="DG104" s="184"/>
      <c r="DH104" s="184"/>
      <c r="DI104" s="184">
        <f>(DI101/24)*12</f>
        <v>3000</v>
      </c>
      <c r="DJ104" s="184"/>
      <c r="DK104" s="184"/>
      <c r="DL104" s="184"/>
      <c r="DM104" s="184"/>
      <c r="DN104" s="184"/>
      <c r="DO104" s="184"/>
      <c r="DP104" s="184"/>
      <c r="DQ104" s="184"/>
      <c r="DR104" s="184"/>
      <c r="DS104" s="184"/>
      <c r="DT104" s="184"/>
    </row>
    <row r="105" spans="2:124" x14ac:dyDescent="0.25">
      <c r="B105" s="824"/>
      <c r="C105" s="826"/>
      <c r="D105" s="438" t="s">
        <v>272</v>
      </c>
      <c r="E105" s="184">
        <f t="shared" ref="E105:AB105" si="75">E101*9%</f>
        <v>540</v>
      </c>
      <c r="F105" s="184">
        <f t="shared" si="75"/>
        <v>540</v>
      </c>
      <c r="G105" s="184">
        <f t="shared" si="75"/>
        <v>540</v>
      </c>
      <c r="H105" s="184">
        <f t="shared" si="75"/>
        <v>540</v>
      </c>
      <c r="I105" s="184">
        <f t="shared" si="75"/>
        <v>540</v>
      </c>
      <c r="J105" s="184">
        <f t="shared" si="75"/>
        <v>540</v>
      </c>
      <c r="K105" s="184">
        <f t="shared" si="75"/>
        <v>540</v>
      </c>
      <c r="L105" s="184">
        <f t="shared" si="75"/>
        <v>540</v>
      </c>
      <c r="M105" s="184">
        <f t="shared" si="75"/>
        <v>540</v>
      </c>
      <c r="N105" s="184">
        <f t="shared" si="75"/>
        <v>540</v>
      </c>
      <c r="O105" s="184">
        <f t="shared" si="75"/>
        <v>540</v>
      </c>
      <c r="P105" s="184">
        <f t="shared" si="75"/>
        <v>540</v>
      </c>
      <c r="Q105" s="184">
        <f>Q101*9%</f>
        <v>540</v>
      </c>
      <c r="R105" s="184">
        <f t="shared" si="75"/>
        <v>540</v>
      </c>
      <c r="S105" s="184">
        <f t="shared" si="75"/>
        <v>540</v>
      </c>
      <c r="T105" s="184">
        <f t="shared" si="75"/>
        <v>540</v>
      </c>
      <c r="U105" s="184">
        <f t="shared" si="75"/>
        <v>540</v>
      </c>
      <c r="V105" s="184">
        <f t="shared" si="75"/>
        <v>540</v>
      </c>
      <c r="W105" s="184">
        <f t="shared" si="75"/>
        <v>540</v>
      </c>
      <c r="X105" s="184">
        <f t="shared" si="75"/>
        <v>540</v>
      </c>
      <c r="Y105" s="184">
        <f t="shared" si="75"/>
        <v>540</v>
      </c>
      <c r="Z105" s="184">
        <f t="shared" si="75"/>
        <v>540</v>
      </c>
      <c r="AA105" s="184">
        <f t="shared" si="75"/>
        <v>540</v>
      </c>
      <c r="AB105" s="184">
        <f t="shared" si="75"/>
        <v>540</v>
      </c>
      <c r="AC105" s="184">
        <f>AC101*9%</f>
        <v>540</v>
      </c>
      <c r="AD105" s="184">
        <f t="shared" ref="AD105:AN105" si="76">AD101*9%</f>
        <v>540</v>
      </c>
      <c r="AE105" s="184">
        <f t="shared" si="76"/>
        <v>540</v>
      </c>
      <c r="AF105" s="184">
        <f t="shared" si="76"/>
        <v>540</v>
      </c>
      <c r="AG105" s="184">
        <f t="shared" si="76"/>
        <v>540</v>
      </c>
      <c r="AH105" s="184">
        <f t="shared" si="76"/>
        <v>540</v>
      </c>
      <c r="AI105" s="184">
        <f t="shared" si="76"/>
        <v>540</v>
      </c>
      <c r="AJ105" s="184">
        <f t="shared" si="76"/>
        <v>540</v>
      </c>
      <c r="AK105" s="184">
        <f t="shared" si="76"/>
        <v>540</v>
      </c>
      <c r="AL105" s="184">
        <f t="shared" si="76"/>
        <v>540</v>
      </c>
      <c r="AM105" s="184">
        <f t="shared" si="76"/>
        <v>540</v>
      </c>
      <c r="AN105" s="184">
        <f t="shared" si="76"/>
        <v>540</v>
      </c>
      <c r="AO105" s="184">
        <f>AO101*9%</f>
        <v>540</v>
      </c>
      <c r="AP105" s="184">
        <f t="shared" ref="AP105:AZ105" si="77">AP101*9%</f>
        <v>540</v>
      </c>
      <c r="AQ105" s="184">
        <f t="shared" si="77"/>
        <v>540</v>
      </c>
      <c r="AR105" s="184">
        <f t="shared" si="77"/>
        <v>540</v>
      </c>
      <c r="AS105" s="184">
        <f t="shared" si="77"/>
        <v>540</v>
      </c>
      <c r="AT105" s="184">
        <f t="shared" si="77"/>
        <v>540</v>
      </c>
      <c r="AU105" s="184">
        <f t="shared" si="77"/>
        <v>540</v>
      </c>
      <c r="AV105" s="184">
        <f t="shared" si="77"/>
        <v>540</v>
      </c>
      <c r="AW105" s="184">
        <f t="shared" si="77"/>
        <v>540</v>
      </c>
      <c r="AX105" s="184">
        <f t="shared" si="77"/>
        <v>540</v>
      </c>
      <c r="AY105" s="184">
        <f t="shared" si="77"/>
        <v>540</v>
      </c>
      <c r="AZ105" s="184">
        <f t="shared" si="77"/>
        <v>540</v>
      </c>
      <c r="BA105" s="184">
        <f>BA101*9%</f>
        <v>540</v>
      </c>
      <c r="BB105" s="184">
        <f t="shared" ref="BB105:BL105" si="78">BB101*9%</f>
        <v>540</v>
      </c>
      <c r="BC105" s="184">
        <f t="shared" si="78"/>
        <v>540</v>
      </c>
      <c r="BD105" s="184">
        <f t="shared" si="78"/>
        <v>540</v>
      </c>
      <c r="BE105" s="184">
        <f t="shared" si="78"/>
        <v>540</v>
      </c>
      <c r="BF105" s="184">
        <f t="shared" si="78"/>
        <v>540</v>
      </c>
      <c r="BG105" s="184">
        <f t="shared" si="78"/>
        <v>540</v>
      </c>
      <c r="BH105" s="184">
        <f t="shared" si="78"/>
        <v>540</v>
      </c>
      <c r="BI105" s="184">
        <f t="shared" si="78"/>
        <v>540</v>
      </c>
      <c r="BJ105" s="184">
        <f t="shared" si="78"/>
        <v>540</v>
      </c>
      <c r="BK105" s="184">
        <f t="shared" si="78"/>
        <v>540</v>
      </c>
      <c r="BL105" s="184">
        <f t="shared" si="78"/>
        <v>540</v>
      </c>
      <c r="BM105" s="184">
        <f>BM101*9%</f>
        <v>540</v>
      </c>
      <c r="BN105" s="184">
        <f t="shared" ref="BN105:BX105" si="79">BN101*9%</f>
        <v>540</v>
      </c>
      <c r="BO105" s="184">
        <f t="shared" si="79"/>
        <v>540</v>
      </c>
      <c r="BP105" s="184">
        <f t="shared" si="79"/>
        <v>540</v>
      </c>
      <c r="BQ105" s="184">
        <f t="shared" si="79"/>
        <v>540</v>
      </c>
      <c r="BR105" s="184">
        <f t="shared" si="79"/>
        <v>540</v>
      </c>
      <c r="BS105" s="184">
        <f t="shared" si="79"/>
        <v>540</v>
      </c>
      <c r="BT105" s="184">
        <f t="shared" si="79"/>
        <v>540</v>
      </c>
      <c r="BU105" s="184">
        <f t="shared" si="79"/>
        <v>540</v>
      </c>
      <c r="BV105" s="184">
        <f t="shared" si="79"/>
        <v>540</v>
      </c>
      <c r="BW105" s="184">
        <f t="shared" si="79"/>
        <v>540</v>
      </c>
      <c r="BX105" s="184">
        <f t="shared" si="79"/>
        <v>540</v>
      </c>
      <c r="BY105" s="184">
        <f>BY101*9%</f>
        <v>540</v>
      </c>
      <c r="BZ105" s="184">
        <f t="shared" ref="BZ105:CJ105" si="80">BZ101*9%</f>
        <v>540</v>
      </c>
      <c r="CA105" s="184">
        <f t="shared" si="80"/>
        <v>540</v>
      </c>
      <c r="CB105" s="184">
        <f t="shared" si="80"/>
        <v>540</v>
      </c>
      <c r="CC105" s="184">
        <f t="shared" si="80"/>
        <v>540</v>
      </c>
      <c r="CD105" s="184">
        <f t="shared" si="80"/>
        <v>540</v>
      </c>
      <c r="CE105" s="184">
        <f t="shared" si="80"/>
        <v>540</v>
      </c>
      <c r="CF105" s="184">
        <f t="shared" si="80"/>
        <v>540</v>
      </c>
      <c r="CG105" s="184">
        <f t="shared" si="80"/>
        <v>540</v>
      </c>
      <c r="CH105" s="184">
        <f t="shared" si="80"/>
        <v>540</v>
      </c>
      <c r="CI105" s="184">
        <f t="shared" si="80"/>
        <v>540</v>
      </c>
      <c r="CJ105" s="184">
        <f t="shared" si="80"/>
        <v>540</v>
      </c>
      <c r="CK105" s="184">
        <f>CK101*9%</f>
        <v>540</v>
      </c>
      <c r="CL105" s="184">
        <f t="shared" ref="CL105:CV105" si="81">CL101*9%</f>
        <v>540</v>
      </c>
      <c r="CM105" s="184">
        <f t="shared" si="81"/>
        <v>540</v>
      </c>
      <c r="CN105" s="184">
        <f t="shared" si="81"/>
        <v>540</v>
      </c>
      <c r="CO105" s="184">
        <f t="shared" si="81"/>
        <v>540</v>
      </c>
      <c r="CP105" s="184">
        <f t="shared" si="81"/>
        <v>540</v>
      </c>
      <c r="CQ105" s="184">
        <f t="shared" si="81"/>
        <v>540</v>
      </c>
      <c r="CR105" s="184">
        <f t="shared" si="81"/>
        <v>540</v>
      </c>
      <c r="CS105" s="184">
        <f t="shared" si="81"/>
        <v>540</v>
      </c>
      <c r="CT105" s="184">
        <f t="shared" si="81"/>
        <v>540</v>
      </c>
      <c r="CU105" s="184">
        <f t="shared" si="81"/>
        <v>540</v>
      </c>
      <c r="CV105" s="184">
        <f t="shared" si="81"/>
        <v>540</v>
      </c>
      <c r="CW105" s="184">
        <f>CW101*9%</f>
        <v>540</v>
      </c>
      <c r="CX105" s="184">
        <f t="shared" ref="CX105:DH105" si="82">CX101*9%</f>
        <v>540</v>
      </c>
      <c r="CY105" s="184">
        <f t="shared" si="82"/>
        <v>540</v>
      </c>
      <c r="CZ105" s="184">
        <f t="shared" si="82"/>
        <v>540</v>
      </c>
      <c r="DA105" s="184">
        <f t="shared" si="82"/>
        <v>540</v>
      </c>
      <c r="DB105" s="184">
        <f t="shared" si="82"/>
        <v>540</v>
      </c>
      <c r="DC105" s="184">
        <f t="shared" si="82"/>
        <v>540</v>
      </c>
      <c r="DD105" s="184">
        <f t="shared" si="82"/>
        <v>540</v>
      </c>
      <c r="DE105" s="184">
        <f t="shared" si="82"/>
        <v>540</v>
      </c>
      <c r="DF105" s="184">
        <f t="shared" si="82"/>
        <v>540</v>
      </c>
      <c r="DG105" s="184">
        <f t="shared" si="82"/>
        <v>540</v>
      </c>
      <c r="DH105" s="184">
        <f t="shared" si="82"/>
        <v>540</v>
      </c>
      <c r="DI105" s="184">
        <f>DI101*9%</f>
        <v>540</v>
      </c>
      <c r="DJ105" s="184">
        <f t="shared" ref="DJ105:DT105" si="83">DJ101*9%</f>
        <v>540</v>
      </c>
      <c r="DK105" s="184">
        <f t="shared" si="83"/>
        <v>540</v>
      </c>
      <c r="DL105" s="184">
        <f t="shared" si="83"/>
        <v>540</v>
      </c>
      <c r="DM105" s="184">
        <f t="shared" si="83"/>
        <v>540</v>
      </c>
      <c r="DN105" s="184">
        <f t="shared" si="83"/>
        <v>540</v>
      </c>
      <c r="DO105" s="184">
        <f t="shared" si="83"/>
        <v>540</v>
      </c>
      <c r="DP105" s="184">
        <f t="shared" si="83"/>
        <v>540</v>
      </c>
      <c r="DQ105" s="184">
        <f t="shared" si="83"/>
        <v>540</v>
      </c>
      <c r="DR105" s="184">
        <f t="shared" si="83"/>
        <v>540</v>
      </c>
      <c r="DS105" s="184">
        <f t="shared" si="83"/>
        <v>540</v>
      </c>
      <c r="DT105" s="184">
        <f t="shared" si="83"/>
        <v>540</v>
      </c>
    </row>
    <row r="106" spans="2:124" x14ac:dyDescent="0.25">
      <c r="B106" s="829"/>
      <c r="C106" s="827"/>
      <c r="D106" s="481" t="s">
        <v>273</v>
      </c>
      <c r="E106" s="454">
        <f>SUM(E101:E105)</f>
        <v>6540</v>
      </c>
      <c r="F106" s="454">
        <f t="shared" ref="F106:BQ106" si="84">SUM(F101:F105)</f>
        <v>6540</v>
      </c>
      <c r="G106" s="454">
        <f t="shared" si="84"/>
        <v>6540</v>
      </c>
      <c r="H106" s="454">
        <f t="shared" si="84"/>
        <v>6540</v>
      </c>
      <c r="I106" s="454">
        <f>SUM(I101:I105)</f>
        <v>8290</v>
      </c>
      <c r="J106" s="454">
        <f t="shared" si="84"/>
        <v>6540</v>
      </c>
      <c r="K106" s="454">
        <f t="shared" si="84"/>
        <v>9540</v>
      </c>
      <c r="L106" s="454">
        <f t="shared" si="84"/>
        <v>6540</v>
      </c>
      <c r="M106" s="454">
        <f t="shared" si="84"/>
        <v>6540</v>
      </c>
      <c r="N106" s="454">
        <f t="shared" si="84"/>
        <v>6540</v>
      </c>
      <c r="O106" s="454">
        <f t="shared" si="84"/>
        <v>8290</v>
      </c>
      <c r="P106" s="454">
        <f t="shared" si="84"/>
        <v>9540</v>
      </c>
      <c r="Q106" s="454">
        <f t="shared" si="84"/>
        <v>9540</v>
      </c>
      <c r="R106" s="454">
        <f t="shared" si="84"/>
        <v>6540</v>
      </c>
      <c r="S106" s="454">
        <f t="shared" si="84"/>
        <v>6540</v>
      </c>
      <c r="T106" s="454">
        <f t="shared" si="84"/>
        <v>6540</v>
      </c>
      <c r="U106" s="454">
        <f t="shared" si="84"/>
        <v>8290</v>
      </c>
      <c r="V106" s="454">
        <f t="shared" si="84"/>
        <v>6540</v>
      </c>
      <c r="W106" s="454">
        <f t="shared" si="84"/>
        <v>9540</v>
      </c>
      <c r="X106" s="454">
        <f t="shared" si="84"/>
        <v>6540</v>
      </c>
      <c r="Y106" s="454">
        <f t="shared" si="84"/>
        <v>6540</v>
      </c>
      <c r="Z106" s="454">
        <f t="shared" si="84"/>
        <v>6540</v>
      </c>
      <c r="AA106" s="454">
        <f t="shared" si="84"/>
        <v>8290</v>
      </c>
      <c r="AB106" s="454">
        <f t="shared" si="84"/>
        <v>9540</v>
      </c>
      <c r="AC106" s="454">
        <f t="shared" si="84"/>
        <v>9540</v>
      </c>
      <c r="AD106" s="454">
        <f t="shared" si="84"/>
        <v>6540</v>
      </c>
      <c r="AE106" s="454">
        <f t="shared" si="84"/>
        <v>6540</v>
      </c>
      <c r="AF106" s="454">
        <f t="shared" si="84"/>
        <v>6540</v>
      </c>
      <c r="AG106" s="454">
        <f t="shared" si="84"/>
        <v>8290</v>
      </c>
      <c r="AH106" s="454">
        <f t="shared" si="84"/>
        <v>6540</v>
      </c>
      <c r="AI106" s="454">
        <f t="shared" si="84"/>
        <v>9540</v>
      </c>
      <c r="AJ106" s="454">
        <f t="shared" si="84"/>
        <v>6540</v>
      </c>
      <c r="AK106" s="454">
        <f t="shared" si="84"/>
        <v>6540</v>
      </c>
      <c r="AL106" s="454">
        <f t="shared" si="84"/>
        <v>6540</v>
      </c>
      <c r="AM106" s="454">
        <f t="shared" si="84"/>
        <v>9790</v>
      </c>
      <c r="AN106" s="454">
        <f t="shared" si="84"/>
        <v>9540</v>
      </c>
      <c r="AO106" s="454">
        <f t="shared" si="84"/>
        <v>9540</v>
      </c>
      <c r="AP106" s="454">
        <f t="shared" si="84"/>
        <v>6540</v>
      </c>
      <c r="AQ106" s="454">
        <f t="shared" si="84"/>
        <v>6540</v>
      </c>
      <c r="AR106" s="454">
        <f t="shared" si="84"/>
        <v>6540</v>
      </c>
      <c r="AS106" s="454">
        <f t="shared" si="84"/>
        <v>9790</v>
      </c>
      <c r="AT106" s="454">
        <f t="shared" si="84"/>
        <v>6540</v>
      </c>
      <c r="AU106" s="454">
        <f t="shared" si="84"/>
        <v>9540</v>
      </c>
      <c r="AV106" s="454">
        <f t="shared" si="84"/>
        <v>6540</v>
      </c>
      <c r="AW106" s="454">
        <f t="shared" si="84"/>
        <v>6540</v>
      </c>
      <c r="AX106" s="454">
        <f t="shared" si="84"/>
        <v>6540</v>
      </c>
      <c r="AY106" s="454">
        <f t="shared" si="84"/>
        <v>9790</v>
      </c>
      <c r="AZ106" s="454">
        <f t="shared" si="84"/>
        <v>9540</v>
      </c>
      <c r="BA106" s="454">
        <f t="shared" si="84"/>
        <v>9540</v>
      </c>
      <c r="BB106" s="454">
        <f t="shared" si="84"/>
        <v>6540</v>
      </c>
      <c r="BC106" s="454">
        <f t="shared" si="84"/>
        <v>6540</v>
      </c>
      <c r="BD106" s="454">
        <f t="shared" si="84"/>
        <v>6540</v>
      </c>
      <c r="BE106" s="454">
        <f t="shared" si="84"/>
        <v>9790</v>
      </c>
      <c r="BF106" s="454">
        <f t="shared" si="84"/>
        <v>6540</v>
      </c>
      <c r="BG106" s="454">
        <f t="shared" si="84"/>
        <v>9540</v>
      </c>
      <c r="BH106" s="454">
        <f t="shared" si="84"/>
        <v>6540</v>
      </c>
      <c r="BI106" s="454">
        <f t="shared" si="84"/>
        <v>6540</v>
      </c>
      <c r="BJ106" s="454">
        <f t="shared" si="84"/>
        <v>6540</v>
      </c>
      <c r="BK106" s="454">
        <f t="shared" si="84"/>
        <v>9790</v>
      </c>
      <c r="BL106" s="454">
        <f t="shared" si="84"/>
        <v>9540</v>
      </c>
      <c r="BM106" s="454">
        <f t="shared" si="84"/>
        <v>9540</v>
      </c>
      <c r="BN106" s="454">
        <f t="shared" si="84"/>
        <v>6540</v>
      </c>
      <c r="BO106" s="454">
        <f t="shared" si="84"/>
        <v>6540</v>
      </c>
      <c r="BP106" s="454">
        <f t="shared" si="84"/>
        <v>6540</v>
      </c>
      <c r="BQ106" s="454">
        <f t="shared" si="84"/>
        <v>9790</v>
      </c>
      <c r="BR106" s="454">
        <f t="shared" ref="BR106:DT106" si="85">SUM(BR101:BR105)</f>
        <v>6540</v>
      </c>
      <c r="BS106" s="454">
        <f t="shared" si="85"/>
        <v>9540</v>
      </c>
      <c r="BT106" s="454">
        <f t="shared" si="85"/>
        <v>6540</v>
      </c>
      <c r="BU106" s="454">
        <f t="shared" si="85"/>
        <v>6540</v>
      </c>
      <c r="BV106" s="454">
        <f t="shared" si="85"/>
        <v>6540</v>
      </c>
      <c r="BW106" s="454">
        <f t="shared" si="85"/>
        <v>9790</v>
      </c>
      <c r="BX106" s="454">
        <f t="shared" si="85"/>
        <v>9540</v>
      </c>
      <c r="BY106" s="454">
        <f t="shared" si="85"/>
        <v>9540</v>
      </c>
      <c r="BZ106" s="454">
        <f t="shared" si="85"/>
        <v>6540</v>
      </c>
      <c r="CA106" s="454">
        <f t="shared" si="85"/>
        <v>6540</v>
      </c>
      <c r="CB106" s="454">
        <f t="shared" si="85"/>
        <v>6540</v>
      </c>
      <c r="CC106" s="454">
        <f t="shared" si="85"/>
        <v>9790</v>
      </c>
      <c r="CD106" s="454">
        <f t="shared" si="85"/>
        <v>6540</v>
      </c>
      <c r="CE106" s="454">
        <f t="shared" si="85"/>
        <v>9540</v>
      </c>
      <c r="CF106" s="454">
        <f t="shared" si="85"/>
        <v>6540</v>
      </c>
      <c r="CG106" s="454">
        <f t="shared" si="85"/>
        <v>6540</v>
      </c>
      <c r="CH106" s="454">
        <f t="shared" si="85"/>
        <v>6540</v>
      </c>
      <c r="CI106" s="454">
        <f t="shared" si="85"/>
        <v>9790</v>
      </c>
      <c r="CJ106" s="454">
        <f t="shared" si="85"/>
        <v>9540</v>
      </c>
      <c r="CK106" s="454">
        <f t="shared" si="85"/>
        <v>9540</v>
      </c>
      <c r="CL106" s="454">
        <f t="shared" si="85"/>
        <v>6540</v>
      </c>
      <c r="CM106" s="454">
        <f t="shared" si="85"/>
        <v>6540</v>
      </c>
      <c r="CN106" s="454">
        <f t="shared" si="85"/>
        <v>6540</v>
      </c>
      <c r="CO106" s="454">
        <f t="shared" si="85"/>
        <v>9790</v>
      </c>
      <c r="CP106" s="454">
        <f t="shared" si="85"/>
        <v>6540</v>
      </c>
      <c r="CQ106" s="454">
        <f t="shared" si="85"/>
        <v>9540</v>
      </c>
      <c r="CR106" s="454">
        <f t="shared" si="85"/>
        <v>6540</v>
      </c>
      <c r="CS106" s="454">
        <f t="shared" si="85"/>
        <v>6540</v>
      </c>
      <c r="CT106" s="454">
        <f t="shared" si="85"/>
        <v>6540</v>
      </c>
      <c r="CU106" s="454">
        <f t="shared" si="85"/>
        <v>9790</v>
      </c>
      <c r="CV106" s="454">
        <f t="shared" si="85"/>
        <v>9540</v>
      </c>
      <c r="CW106" s="454">
        <f t="shared" si="85"/>
        <v>9540</v>
      </c>
      <c r="CX106" s="454">
        <f t="shared" si="85"/>
        <v>6540</v>
      </c>
      <c r="CY106" s="454">
        <f t="shared" si="85"/>
        <v>6540</v>
      </c>
      <c r="CZ106" s="454">
        <f t="shared" si="85"/>
        <v>6540</v>
      </c>
      <c r="DA106" s="454">
        <f t="shared" si="85"/>
        <v>9790</v>
      </c>
      <c r="DB106" s="454">
        <f t="shared" si="85"/>
        <v>6540</v>
      </c>
      <c r="DC106" s="454">
        <f t="shared" si="85"/>
        <v>9540</v>
      </c>
      <c r="DD106" s="454">
        <f t="shared" si="85"/>
        <v>6540</v>
      </c>
      <c r="DE106" s="454">
        <f t="shared" si="85"/>
        <v>6540</v>
      </c>
      <c r="DF106" s="454">
        <f t="shared" si="85"/>
        <v>6540</v>
      </c>
      <c r="DG106" s="454">
        <f t="shared" si="85"/>
        <v>9790</v>
      </c>
      <c r="DH106" s="454">
        <f t="shared" si="85"/>
        <v>9540</v>
      </c>
      <c r="DI106" s="454">
        <f t="shared" si="85"/>
        <v>9540</v>
      </c>
      <c r="DJ106" s="454">
        <f t="shared" si="85"/>
        <v>6540</v>
      </c>
      <c r="DK106" s="454">
        <f t="shared" si="85"/>
        <v>6540</v>
      </c>
      <c r="DL106" s="454">
        <f t="shared" si="85"/>
        <v>6540</v>
      </c>
      <c r="DM106" s="454">
        <f t="shared" si="85"/>
        <v>9790</v>
      </c>
      <c r="DN106" s="454">
        <f t="shared" si="85"/>
        <v>6540</v>
      </c>
      <c r="DO106" s="454">
        <f t="shared" si="85"/>
        <v>9540</v>
      </c>
      <c r="DP106" s="454">
        <f t="shared" si="85"/>
        <v>6540</v>
      </c>
      <c r="DQ106" s="454">
        <f t="shared" si="85"/>
        <v>6540</v>
      </c>
      <c r="DR106" s="454">
        <f t="shared" si="85"/>
        <v>6540</v>
      </c>
      <c r="DS106" s="454">
        <f t="shared" si="85"/>
        <v>9790</v>
      </c>
      <c r="DT106" s="454">
        <f t="shared" si="85"/>
        <v>9540</v>
      </c>
    </row>
    <row r="107" spans="2:124" x14ac:dyDescent="0.25">
      <c r="B107" s="823" t="s">
        <v>255</v>
      </c>
      <c r="C107" s="825" t="s">
        <v>269</v>
      </c>
      <c r="D107" s="438" t="s">
        <v>254</v>
      </c>
      <c r="E107" s="184">
        <f>E82</f>
        <v>2000</v>
      </c>
      <c r="F107" s="184">
        <f t="shared" ref="F107:AB107" si="86">E107</f>
        <v>2000</v>
      </c>
      <c r="G107" s="184">
        <f t="shared" si="86"/>
        <v>2000</v>
      </c>
      <c r="H107" s="184">
        <f t="shared" si="86"/>
        <v>2000</v>
      </c>
      <c r="I107" s="184">
        <f t="shared" si="86"/>
        <v>2000</v>
      </c>
      <c r="J107" s="184">
        <f t="shared" si="86"/>
        <v>2000</v>
      </c>
      <c r="K107" s="184">
        <f t="shared" si="86"/>
        <v>2000</v>
      </c>
      <c r="L107" s="184">
        <f t="shared" si="86"/>
        <v>2000</v>
      </c>
      <c r="M107" s="184">
        <f t="shared" si="86"/>
        <v>2000</v>
      </c>
      <c r="N107" s="184">
        <f t="shared" si="86"/>
        <v>2000</v>
      </c>
      <c r="O107" s="184">
        <f>N107</f>
        <v>2000</v>
      </c>
      <c r="P107" s="184">
        <f t="shared" si="86"/>
        <v>2000</v>
      </c>
      <c r="Q107" s="184">
        <f>U82</f>
        <v>2000</v>
      </c>
      <c r="R107" s="184">
        <f t="shared" si="86"/>
        <v>2000</v>
      </c>
      <c r="S107" s="184">
        <f t="shared" si="86"/>
        <v>2000</v>
      </c>
      <c r="T107" s="184">
        <f t="shared" si="86"/>
        <v>2000</v>
      </c>
      <c r="U107" s="184">
        <f t="shared" si="86"/>
        <v>2000</v>
      </c>
      <c r="V107" s="184">
        <f t="shared" si="86"/>
        <v>2000</v>
      </c>
      <c r="W107" s="184">
        <f t="shared" si="86"/>
        <v>2000</v>
      </c>
      <c r="X107" s="184">
        <f t="shared" si="86"/>
        <v>2000</v>
      </c>
      <c r="Y107" s="184">
        <f t="shared" si="86"/>
        <v>2000</v>
      </c>
      <c r="Z107" s="184">
        <f t="shared" si="86"/>
        <v>2000</v>
      </c>
      <c r="AA107" s="184">
        <f t="shared" si="86"/>
        <v>2000</v>
      </c>
      <c r="AB107" s="184">
        <f t="shared" si="86"/>
        <v>2000</v>
      </c>
      <c r="AC107" s="184">
        <f>AG82</f>
        <v>2000</v>
      </c>
      <c r="AD107" s="184">
        <f t="shared" ref="AD107:AN107" si="87">AC107</f>
        <v>2000</v>
      </c>
      <c r="AE107" s="184">
        <f t="shared" si="87"/>
        <v>2000</v>
      </c>
      <c r="AF107" s="184">
        <f t="shared" si="87"/>
        <v>2000</v>
      </c>
      <c r="AG107" s="184">
        <f t="shared" si="87"/>
        <v>2000</v>
      </c>
      <c r="AH107" s="184">
        <f t="shared" si="87"/>
        <v>2000</v>
      </c>
      <c r="AI107" s="184">
        <f t="shared" si="87"/>
        <v>2000</v>
      </c>
      <c r="AJ107" s="184">
        <f t="shared" si="87"/>
        <v>2000</v>
      </c>
      <c r="AK107" s="184">
        <f t="shared" si="87"/>
        <v>2000</v>
      </c>
      <c r="AL107" s="184">
        <f t="shared" si="87"/>
        <v>2000</v>
      </c>
      <c r="AM107" s="184">
        <f t="shared" si="87"/>
        <v>2000</v>
      </c>
      <c r="AN107" s="184">
        <f t="shared" si="87"/>
        <v>2000</v>
      </c>
      <c r="AO107" s="184">
        <f>AS82</f>
        <v>2000</v>
      </c>
      <c r="AP107" s="184">
        <f t="shared" ref="AP107:AZ107" si="88">AO107</f>
        <v>2000</v>
      </c>
      <c r="AQ107" s="184">
        <f t="shared" si="88"/>
        <v>2000</v>
      </c>
      <c r="AR107" s="184">
        <f t="shared" si="88"/>
        <v>2000</v>
      </c>
      <c r="AS107" s="184">
        <f t="shared" si="88"/>
        <v>2000</v>
      </c>
      <c r="AT107" s="184">
        <f t="shared" si="88"/>
        <v>2000</v>
      </c>
      <c r="AU107" s="184">
        <f t="shared" si="88"/>
        <v>2000</v>
      </c>
      <c r="AV107" s="184">
        <f t="shared" si="88"/>
        <v>2000</v>
      </c>
      <c r="AW107" s="184">
        <f t="shared" si="88"/>
        <v>2000</v>
      </c>
      <c r="AX107" s="184">
        <f t="shared" si="88"/>
        <v>2000</v>
      </c>
      <c r="AY107" s="184">
        <f t="shared" si="88"/>
        <v>2000</v>
      </c>
      <c r="AZ107" s="184">
        <f t="shared" si="88"/>
        <v>2000</v>
      </c>
      <c r="BA107" s="184">
        <f>BE82</f>
        <v>2000</v>
      </c>
      <c r="BB107" s="184">
        <f t="shared" ref="BB107:BL107" si="89">BA107</f>
        <v>2000</v>
      </c>
      <c r="BC107" s="184">
        <f t="shared" si="89"/>
        <v>2000</v>
      </c>
      <c r="BD107" s="184">
        <f t="shared" si="89"/>
        <v>2000</v>
      </c>
      <c r="BE107" s="184">
        <f t="shared" si="89"/>
        <v>2000</v>
      </c>
      <c r="BF107" s="184">
        <f t="shared" si="89"/>
        <v>2000</v>
      </c>
      <c r="BG107" s="184">
        <f t="shared" si="89"/>
        <v>2000</v>
      </c>
      <c r="BH107" s="184">
        <f t="shared" si="89"/>
        <v>2000</v>
      </c>
      <c r="BI107" s="184">
        <f t="shared" si="89"/>
        <v>2000</v>
      </c>
      <c r="BJ107" s="184">
        <f t="shared" si="89"/>
        <v>2000</v>
      </c>
      <c r="BK107" s="184">
        <f t="shared" si="89"/>
        <v>2000</v>
      </c>
      <c r="BL107" s="184">
        <f t="shared" si="89"/>
        <v>2000</v>
      </c>
      <c r="BM107" s="184">
        <f>BQ82</f>
        <v>2000</v>
      </c>
      <c r="BN107" s="184">
        <f t="shared" ref="BN107:BX107" si="90">BM107</f>
        <v>2000</v>
      </c>
      <c r="BO107" s="184">
        <f t="shared" si="90"/>
        <v>2000</v>
      </c>
      <c r="BP107" s="184">
        <f t="shared" si="90"/>
        <v>2000</v>
      </c>
      <c r="BQ107" s="184">
        <f t="shared" si="90"/>
        <v>2000</v>
      </c>
      <c r="BR107" s="184">
        <f t="shared" si="90"/>
        <v>2000</v>
      </c>
      <c r="BS107" s="184">
        <f t="shared" si="90"/>
        <v>2000</v>
      </c>
      <c r="BT107" s="184">
        <f t="shared" si="90"/>
        <v>2000</v>
      </c>
      <c r="BU107" s="184">
        <f t="shared" si="90"/>
        <v>2000</v>
      </c>
      <c r="BV107" s="184">
        <f t="shared" si="90"/>
        <v>2000</v>
      </c>
      <c r="BW107" s="184">
        <f t="shared" si="90"/>
        <v>2000</v>
      </c>
      <c r="BX107" s="184">
        <f t="shared" si="90"/>
        <v>2000</v>
      </c>
      <c r="BY107" s="184">
        <f>CC82</f>
        <v>2000</v>
      </c>
      <c r="BZ107" s="184">
        <f t="shared" ref="BZ107:CJ107" si="91">BY107</f>
        <v>2000</v>
      </c>
      <c r="CA107" s="184">
        <f t="shared" si="91"/>
        <v>2000</v>
      </c>
      <c r="CB107" s="184">
        <f t="shared" si="91"/>
        <v>2000</v>
      </c>
      <c r="CC107" s="184">
        <f t="shared" si="91"/>
        <v>2000</v>
      </c>
      <c r="CD107" s="184">
        <f t="shared" si="91"/>
        <v>2000</v>
      </c>
      <c r="CE107" s="184">
        <f t="shared" si="91"/>
        <v>2000</v>
      </c>
      <c r="CF107" s="184">
        <f t="shared" si="91"/>
        <v>2000</v>
      </c>
      <c r="CG107" s="184">
        <f t="shared" si="91"/>
        <v>2000</v>
      </c>
      <c r="CH107" s="184">
        <f t="shared" si="91"/>
        <v>2000</v>
      </c>
      <c r="CI107" s="184">
        <f t="shared" si="91"/>
        <v>2000</v>
      </c>
      <c r="CJ107" s="184">
        <f t="shared" si="91"/>
        <v>2000</v>
      </c>
      <c r="CK107" s="184">
        <f>CO82</f>
        <v>2000</v>
      </c>
      <c r="CL107" s="184">
        <f t="shared" ref="CL107:CV107" si="92">CK107</f>
        <v>2000</v>
      </c>
      <c r="CM107" s="184">
        <f t="shared" si="92"/>
        <v>2000</v>
      </c>
      <c r="CN107" s="184">
        <f t="shared" si="92"/>
        <v>2000</v>
      </c>
      <c r="CO107" s="184">
        <f t="shared" si="92"/>
        <v>2000</v>
      </c>
      <c r="CP107" s="184">
        <f t="shared" si="92"/>
        <v>2000</v>
      </c>
      <c r="CQ107" s="184">
        <f t="shared" si="92"/>
        <v>2000</v>
      </c>
      <c r="CR107" s="184">
        <f t="shared" si="92"/>
        <v>2000</v>
      </c>
      <c r="CS107" s="184">
        <f t="shared" si="92"/>
        <v>2000</v>
      </c>
      <c r="CT107" s="184">
        <f t="shared" si="92"/>
        <v>2000</v>
      </c>
      <c r="CU107" s="184">
        <f t="shared" si="92"/>
        <v>2000</v>
      </c>
      <c r="CV107" s="184">
        <f t="shared" si="92"/>
        <v>2000</v>
      </c>
      <c r="CW107" s="184">
        <f>DA82</f>
        <v>2000</v>
      </c>
      <c r="CX107" s="184">
        <f t="shared" ref="CX107:DH107" si="93">CW107</f>
        <v>2000</v>
      </c>
      <c r="CY107" s="184">
        <f t="shared" si="93"/>
        <v>2000</v>
      </c>
      <c r="CZ107" s="184">
        <f t="shared" si="93"/>
        <v>2000</v>
      </c>
      <c r="DA107" s="184">
        <f t="shared" si="93"/>
        <v>2000</v>
      </c>
      <c r="DB107" s="184">
        <f t="shared" si="93"/>
        <v>2000</v>
      </c>
      <c r="DC107" s="184">
        <f t="shared" si="93"/>
        <v>2000</v>
      </c>
      <c r="DD107" s="184">
        <f t="shared" si="93"/>
        <v>2000</v>
      </c>
      <c r="DE107" s="184">
        <f t="shared" si="93"/>
        <v>2000</v>
      </c>
      <c r="DF107" s="184">
        <f t="shared" si="93"/>
        <v>2000</v>
      </c>
      <c r="DG107" s="184">
        <f t="shared" si="93"/>
        <v>2000</v>
      </c>
      <c r="DH107" s="184">
        <f t="shared" si="93"/>
        <v>2000</v>
      </c>
      <c r="DI107" s="184">
        <f>DM82</f>
        <v>2000</v>
      </c>
      <c r="DJ107" s="184">
        <f t="shared" ref="DJ107:DT107" si="94">DI107</f>
        <v>2000</v>
      </c>
      <c r="DK107" s="184">
        <f t="shared" si="94"/>
        <v>2000</v>
      </c>
      <c r="DL107" s="184">
        <f t="shared" si="94"/>
        <v>2000</v>
      </c>
      <c r="DM107" s="184">
        <f t="shared" si="94"/>
        <v>2000</v>
      </c>
      <c r="DN107" s="184">
        <f t="shared" si="94"/>
        <v>2000</v>
      </c>
      <c r="DO107" s="184">
        <f t="shared" si="94"/>
        <v>2000</v>
      </c>
      <c r="DP107" s="184">
        <f t="shared" si="94"/>
        <v>2000</v>
      </c>
      <c r="DQ107" s="184">
        <f t="shared" si="94"/>
        <v>2000</v>
      </c>
      <c r="DR107" s="184">
        <f t="shared" si="94"/>
        <v>2000</v>
      </c>
      <c r="DS107" s="184">
        <f t="shared" si="94"/>
        <v>2000</v>
      </c>
      <c r="DT107" s="184">
        <f t="shared" si="94"/>
        <v>2000</v>
      </c>
    </row>
    <row r="108" spans="2:124" x14ac:dyDescent="0.25">
      <c r="B108" s="824"/>
      <c r="C108" s="826"/>
      <c r="D108" s="438" t="s">
        <v>270</v>
      </c>
      <c r="E108" s="184"/>
      <c r="F108" s="184"/>
      <c r="G108" s="184"/>
      <c r="H108" s="184"/>
      <c r="I108" s="184"/>
      <c r="J108" s="184"/>
      <c r="K108" s="184">
        <f>J107/2</f>
        <v>1000</v>
      </c>
      <c r="L108" s="184"/>
      <c r="M108" s="184"/>
      <c r="N108" s="184"/>
      <c r="O108" s="184"/>
      <c r="P108" s="184">
        <f>O107/2</f>
        <v>1000</v>
      </c>
      <c r="Q108" s="184"/>
      <c r="R108" s="184"/>
      <c r="S108" s="184"/>
      <c r="T108" s="184"/>
      <c r="U108" s="184"/>
      <c r="V108" s="184"/>
      <c r="W108" s="184">
        <f>V107/2</f>
        <v>1000</v>
      </c>
      <c r="X108" s="184"/>
      <c r="Y108" s="184"/>
      <c r="Z108" s="184"/>
      <c r="AA108" s="184"/>
      <c r="AB108" s="184">
        <f>AA107/2</f>
        <v>1000</v>
      </c>
      <c r="AC108" s="184"/>
      <c r="AD108" s="184"/>
      <c r="AE108" s="184"/>
      <c r="AF108" s="184"/>
      <c r="AG108" s="184"/>
      <c r="AH108" s="184"/>
      <c r="AI108" s="184">
        <f>AH107/2</f>
        <v>1000</v>
      </c>
      <c r="AJ108" s="184"/>
      <c r="AK108" s="184"/>
      <c r="AL108" s="184"/>
      <c r="AM108" s="184"/>
      <c r="AN108" s="184">
        <f>AM107/2</f>
        <v>1000</v>
      </c>
      <c r="AO108" s="184"/>
      <c r="AP108" s="184"/>
      <c r="AQ108" s="184"/>
      <c r="AR108" s="184"/>
      <c r="AS108" s="184"/>
      <c r="AT108" s="184"/>
      <c r="AU108" s="184">
        <f>AT107/2</f>
        <v>1000</v>
      </c>
      <c r="AV108" s="184"/>
      <c r="AW108" s="184"/>
      <c r="AX108" s="184"/>
      <c r="AY108" s="184"/>
      <c r="AZ108" s="184">
        <f>AY107/2</f>
        <v>1000</v>
      </c>
      <c r="BA108" s="184"/>
      <c r="BB108" s="184"/>
      <c r="BC108" s="184"/>
      <c r="BD108" s="184"/>
      <c r="BE108" s="184"/>
      <c r="BF108" s="184"/>
      <c r="BG108" s="184">
        <f>BF107/2</f>
        <v>1000</v>
      </c>
      <c r="BH108" s="184"/>
      <c r="BI108" s="184"/>
      <c r="BJ108" s="184"/>
      <c r="BK108" s="184"/>
      <c r="BL108" s="184">
        <f>BK107/2</f>
        <v>1000</v>
      </c>
      <c r="BM108" s="184"/>
      <c r="BN108" s="184"/>
      <c r="BO108" s="184"/>
      <c r="BP108" s="184"/>
      <c r="BQ108" s="184"/>
      <c r="BR108" s="184"/>
      <c r="BS108" s="184">
        <f>BR107/2</f>
        <v>1000</v>
      </c>
      <c r="BT108" s="184"/>
      <c r="BU108" s="184"/>
      <c r="BV108" s="184"/>
      <c r="BW108" s="184"/>
      <c r="BX108" s="184">
        <f>BW107/2</f>
        <v>1000</v>
      </c>
      <c r="BY108" s="184"/>
      <c r="BZ108" s="184"/>
      <c r="CA108" s="184"/>
      <c r="CB108" s="184"/>
      <c r="CC108" s="184"/>
      <c r="CD108" s="184"/>
      <c r="CE108" s="184">
        <f>CD107/2</f>
        <v>1000</v>
      </c>
      <c r="CF108" s="184"/>
      <c r="CG108" s="184"/>
      <c r="CH108" s="184"/>
      <c r="CI108" s="184"/>
      <c r="CJ108" s="184">
        <f>CI107/2</f>
        <v>1000</v>
      </c>
      <c r="CK108" s="184"/>
      <c r="CL108" s="184"/>
      <c r="CM108" s="184"/>
      <c r="CN108" s="184"/>
      <c r="CO108" s="184"/>
      <c r="CP108" s="184"/>
      <c r="CQ108" s="184">
        <f>CP107/2</f>
        <v>1000</v>
      </c>
      <c r="CR108" s="184"/>
      <c r="CS108" s="184"/>
      <c r="CT108" s="184"/>
      <c r="CU108" s="184"/>
      <c r="CV108" s="184">
        <f>CU107/2</f>
        <v>1000</v>
      </c>
      <c r="CW108" s="184"/>
      <c r="CX108" s="184"/>
      <c r="CY108" s="184"/>
      <c r="CZ108" s="184"/>
      <c r="DA108" s="184"/>
      <c r="DB108" s="184"/>
      <c r="DC108" s="184">
        <f>DB107/2</f>
        <v>1000</v>
      </c>
      <c r="DD108" s="184"/>
      <c r="DE108" s="184"/>
      <c r="DF108" s="184"/>
      <c r="DG108" s="184"/>
      <c r="DH108" s="184">
        <f>DG107/2</f>
        <v>1000</v>
      </c>
      <c r="DI108" s="184"/>
      <c r="DJ108" s="184"/>
      <c r="DK108" s="184"/>
      <c r="DL108" s="184"/>
      <c r="DM108" s="184"/>
      <c r="DN108" s="184"/>
      <c r="DO108" s="184">
        <f>DN107/2</f>
        <v>1000</v>
      </c>
      <c r="DP108" s="184"/>
      <c r="DQ108" s="184"/>
      <c r="DR108" s="184"/>
      <c r="DS108" s="184"/>
      <c r="DT108" s="184">
        <f>DS107/2</f>
        <v>1000</v>
      </c>
    </row>
    <row r="109" spans="2:124" x14ac:dyDescent="0.25">
      <c r="B109" s="824"/>
      <c r="C109" s="826"/>
      <c r="D109" s="438" t="s">
        <v>271</v>
      </c>
      <c r="E109" s="184"/>
      <c r="F109" s="184"/>
      <c r="G109" s="184"/>
      <c r="H109" s="184"/>
      <c r="I109" s="184">
        <f>(((H107/2)+K108/6)/12)*6</f>
        <v>583.33333333333337</v>
      </c>
      <c r="J109" s="184"/>
      <c r="K109" s="184"/>
      <c r="L109" s="184"/>
      <c r="M109" s="184"/>
      <c r="N109" s="184"/>
      <c r="O109" s="184">
        <f>(((N107/2)+P108/6)/12)*6</f>
        <v>583.33333333333337</v>
      </c>
      <c r="P109" s="184"/>
      <c r="Q109" s="184"/>
      <c r="R109" s="184"/>
      <c r="S109" s="184"/>
      <c r="T109" s="184"/>
      <c r="U109" s="184">
        <f>(((T107/2)+W108/6)/12)*6</f>
        <v>583.33333333333337</v>
      </c>
      <c r="V109" s="184"/>
      <c r="W109" s="184"/>
      <c r="X109" s="184"/>
      <c r="Y109" s="184"/>
      <c r="Z109" s="184"/>
      <c r="AA109" s="184">
        <f>(((Z107/2)+AB108/6)/12)*6</f>
        <v>583.33333333333337</v>
      </c>
      <c r="AB109" s="184"/>
      <c r="AC109" s="184"/>
      <c r="AD109" s="184"/>
      <c r="AE109" s="184"/>
      <c r="AF109" s="184"/>
      <c r="AG109" s="184">
        <f>(((AF107/2)+AI108/6)/12)*6</f>
        <v>583.33333333333337</v>
      </c>
      <c r="AH109" s="184"/>
      <c r="AI109" s="184"/>
      <c r="AJ109" s="184"/>
      <c r="AK109" s="184"/>
      <c r="AL109" s="184"/>
      <c r="AM109" s="184">
        <f>(((AL107/2)+AN108/6)/12)*6</f>
        <v>583.33333333333337</v>
      </c>
      <c r="AN109" s="184"/>
      <c r="AO109" s="184"/>
      <c r="AP109" s="184"/>
      <c r="AQ109" s="184"/>
      <c r="AR109" s="184"/>
      <c r="AS109" s="184">
        <f>(((AR107/2)+AU108/6)/12)*6</f>
        <v>583.33333333333337</v>
      </c>
      <c r="AT109" s="184"/>
      <c r="AU109" s="184"/>
      <c r="AV109" s="184"/>
      <c r="AW109" s="184"/>
      <c r="AX109" s="184"/>
      <c r="AY109" s="184">
        <f>(((AX107/2)+AZ108/6)/12)*6</f>
        <v>583.33333333333337</v>
      </c>
      <c r="AZ109" s="184"/>
      <c r="BA109" s="184"/>
      <c r="BB109" s="184"/>
      <c r="BC109" s="184"/>
      <c r="BD109" s="184"/>
      <c r="BE109" s="184">
        <f>(((BD107/2)+BG108/6)/12)*6</f>
        <v>583.33333333333337</v>
      </c>
      <c r="BF109" s="184"/>
      <c r="BG109" s="184"/>
      <c r="BH109" s="184"/>
      <c r="BI109" s="184"/>
      <c r="BJ109" s="184"/>
      <c r="BK109" s="184">
        <f>(((BJ107/2)+BL108/6)/12)*6</f>
        <v>583.33333333333337</v>
      </c>
      <c r="BL109" s="184"/>
      <c r="BM109" s="184"/>
      <c r="BN109" s="184"/>
      <c r="BO109" s="184"/>
      <c r="BP109" s="184"/>
      <c r="BQ109" s="184">
        <f>(((BP107/2)+BS108/6)/12)*6</f>
        <v>583.33333333333337</v>
      </c>
      <c r="BR109" s="184"/>
      <c r="BS109" s="184"/>
      <c r="BT109" s="184"/>
      <c r="BU109" s="184"/>
      <c r="BV109" s="184"/>
      <c r="BW109" s="184">
        <f>(((BV107/2)+BX108/6)/12)*6</f>
        <v>583.33333333333337</v>
      </c>
      <c r="BX109" s="184"/>
      <c r="BY109" s="184"/>
      <c r="BZ109" s="184"/>
      <c r="CA109" s="184"/>
      <c r="CB109" s="184"/>
      <c r="CC109" s="184">
        <f>(((CB107/2)+CE108/6)/12)*6</f>
        <v>583.33333333333337</v>
      </c>
      <c r="CD109" s="184"/>
      <c r="CE109" s="184"/>
      <c r="CF109" s="184"/>
      <c r="CG109" s="184"/>
      <c r="CH109" s="184"/>
      <c r="CI109" s="184">
        <f>(((CH107/2)+CJ108/6)/12)*6</f>
        <v>583.33333333333337</v>
      </c>
      <c r="CJ109" s="184"/>
      <c r="CK109" s="184"/>
      <c r="CL109" s="184"/>
      <c r="CM109" s="184"/>
      <c r="CN109" s="184"/>
      <c r="CO109" s="184">
        <f>(((CN107/2)+CQ108/6)/12)*6</f>
        <v>583.33333333333337</v>
      </c>
      <c r="CP109" s="184"/>
      <c r="CQ109" s="184"/>
      <c r="CR109" s="184"/>
      <c r="CS109" s="184"/>
      <c r="CT109" s="184"/>
      <c r="CU109" s="184">
        <f>(((CT107/2)+CV108/6)/12)*6</f>
        <v>583.33333333333337</v>
      </c>
      <c r="CV109" s="184"/>
      <c r="CW109" s="184"/>
      <c r="CX109" s="184"/>
      <c r="CY109" s="184"/>
      <c r="CZ109" s="184"/>
      <c r="DA109" s="184">
        <f>(((CZ107/2)+DC108/6)/12)*6</f>
        <v>583.33333333333337</v>
      </c>
      <c r="DB109" s="184"/>
      <c r="DC109" s="184"/>
      <c r="DD109" s="184"/>
      <c r="DE109" s="184"/>
      <c r="DF109" s="184"/>
      <c r="DG109" s="184">
        <f>(((DF107/2)+DH108/6)/12)*6</f>
        <v>583.33333333333337</v>
      </c>
      <c r="DH109" s="184"/>
      <c r="DI109" s="184"/>
      <c r="DJ109" s="184"/>
      <c r="DK109" s="184"/>
      <c r="DL109" s="184"/>
      <c r="DM109" s="184">
        <f>(((DL107/2)+DO108/6)/12)*6</f>
        <v>583.33333333333337</v>
      </c>
      <c r="DN109" s="184"/>
      <c r="DO109" s="184"/>
      <c r="DP109" s="184"/>
      <c r="DQ109" s="184"/>
      <c r="DR109" s="184"/>
      <c r="DS109" s="184">
        <f>(((DR107/2)+DT108/6)/12)*6</f>
        <v>583.33333333333337</v>
      </c>
      <c r="DT109" s="184"/>
    </row>
    <row r="110" spans="2:124" x14ac:dyDescent="0.25">
      <c r="B110" s="824"/>
      <c r="C110" s="826"/>
      <c r="D110" s="438" t="s">
        <v>592</v>
      </c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>
        <f>(Q107/24)*12</f>
        <v>1000</v>
      </c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>
        <f>(AC107/24)*12</f>
        <v>1000</v>
      </c>
      <c r="AD110" s="184"/>
      <c r="AE110" s="184"/>
      <c r="AF110" s="184"/>
      <c r="AG110" s="184"/>
      <c r="AH110" s="184"/>
      <c r="AI110" s="184"/>
      <c r="AJ110" s="184"/>
      <c r="AK110" s="184"/>
      <c r="AL110" s="184"/>
      <c r="AM110" s="184"/>
      <c r="AN110" s="184"/>
      <c r="AO110" s="184">
        <f>(AO107/24)*12</f>
        <v>1000</v>
      </c>
      <c r="AP110" s="184"/>
      <c r="AQ110" s="184"/>
      <c r="AR110" s="184"/>
      <c r="AS110" s="184"/>
      <c r="AT110" s="184"/>
      <c r="AU110" s="184"/>
      <c r="AV110" s="184"/>
      <c r="AW110" s="184"/>
      <c r="AX110" s="184"/>
      <c r="AY110" s="184"/>
      <c r="AZ110" s="184"/>
      <c r="BA110" s="184">
        <f>(BA107/24)*12</f>
        <v>1000</v>
      </c>
      <c r="BB110" s="184"/>
      <c r="BC110" s="184"/>
      <c r="BD110" s="184"/>
      <c r="BE110" s="184"/>
      <c r="BF110" s="184"/>
      <c r="BG110" s="184"/>
      <c r="BH110" s="184"/>
      <c r="BI110" s="184"/>
      <c r="BJ110" s="184"/>
      <c r="BK110" s="184"/>
      <c r="BL110" s="184"/>
      <c r="BM110" s="184">
        <f>(BM107/24)*12</f>
        <v>1000</v>
      </c>
      <c r="BN110" s="184"/>
      <c r="BO110" s="184"/>
      <c r="BP110" s="184"/>
      <c r="BQ110" s="184"/>
      <c r="BR110" s="184"/>
      <c r="BS110" s="184"/>
      <c r="BT110" s="184"/>
      <c r="BU110" s="184"/>
      <c r="BV110" s="184"/>
      <c r="BW110" s="184"/>
      <c r="BX110" s="184"/>
      <c r="BY110" s="184">
        <f>(BY107/24)*12</f>
        <v>1000</v>
      </c>
      <c r="BZ110" s="184"/>
      <c r="CA110" s="184"/>
      <c r="CB110" s="184"/>
      <c r="CC110" s="184"/>
      <c r="CD110" s="184"/>
      <c r="CE110" s="184"/>
      <c r="CF110" s="184"/>
      <c r="CG110" s="184"/>
      <c r="CH110" s="184"/>
      <c r="CI110" s="184"/>
      <c r="CJ110" s="184"/>
      <c r="CK110" s="184">
        <f>(CK107/24)*12</f>
        <v>1000</v>
      </c>
      <c r="CL110" s="184"/>
      <c r="CM110" s="184"/>
      <c r="CN110" s="184"/>
      <c r="CO110" s="184"/>
      <c r="CP110" s="184"/>
      <c r="CQ110" s="184"/>
      <c r="CR110" s="184"/>
      <c r="CS110" s="184"/>
      <c r="CT110" s="184"/>
      <c r="CU110" s="184"/>
      <c r="CV110" s="184"/>
      <c r="CW110" s="184">
        <f>(CW107/24)*12</f>
        <v>1000</v>
      </c>
      <c r="CX110" s="184"/>
      <c r="CY110" s="184"/>
      <c r="CZ110" s="184"/>
      <c r="DA110" s="184"/>
      <c r="DB110" s="184"/>
      <c r="DC110" s="184"/>
      <c r="DD110" s="184"/>
      <c r="DE110" s="184"/>
      <c r="DF110" s="184"/>
      <c r="DG110" s="184"/>
      <c r="DH110" s="184"/>
      <c r="DI110" s="184">
        <f>(DI107/24)*12</f>
        <v>1000</v>
      </c>
      <c r="DJ110" s="184"/>
      <c r="DK110" s="184"/>
      <c r="DL110" s="184"/>
      <c r="DM110" s="184"/>
      <c r="DN110" s="184"/>
      <c r="DO110" s="184"/>
      <c r="DP110" s="184"/>
      <c r="DQ110" s="184"/>
      <c r="DR110" s="184"/>
      <c r="DS110" s="184"/>
      <c r="DT110" s="184"/>
    </row>
    <row r="111" spans="2:124" x14ac:dyDescent="0.25">
      <c r="B111" s="824"/>
      <c r="C111" s="826"/>
      <c r="D111" s="438" t="s">
        <v>272</v>
      </c>
      <c r="E111" s="184">
        <f>E107*9%</f>
        <v>180</v>
      </c>
      <c r="F111" s="184">
        <f t="shared" ref="F111:BQ111" si="95">F107*9%</f>
        <v>180</v>
      </c>
      <c r="G111" s="184">
        <f t="shared" si="95"/>
        <v>180</v>
      </c>
      <c r="H111" s="184">
        <f t="shared" si="95"/>
        <v>180</v>
      </c>
      <c r="I111" s="184">
        <f t="shared" si="95"/>
        <v>180</v>
      </c>
      <c r="J111" s="184">
        <f t="shared" si="95"/>
        <v>180</v>
      </c>
      <c r="K111" s="184">
        <f t="shared" si="95"/>
        <v>180</v>
      </c>
      <c r="L111" s="184">
        <f t="shared" si="95"/>
        <v>180</v>
      </c>
      <c r="M111" s="184">
        <f t="shared" si="95"/>
        <v>180</v>
      </c>
      <c r="N111" s="184">
        <f t="shared" si="95"/>
        <v>180</v>
      </c>
      <c r="O111" s="184">
        <f t="shared" si="95"/>
        <v>180</v>
      </c>
      <c r="P111" s="184">
        <f t="shared" si="95"/>
        <v>180</v>
      </c>
      <c r="Q111" s="184">
        <f t="shared" si="95"/>
        <v>180</v>
      </c>
      <c r="R111" s="184">
        <f t="shared" si="95"/>
        <v>180</v>
      </c>
      <c r="S111" s="184">
        <f t="shared" si="95"/>
        <v>180</v>
      </c>
      <c r="T111" s="184">
        <f t="shared" si="95"/>
        <v>180</v>
      </c>
      <c r="U111" s="184">
        <f t="shared" si="95"/>
        <v>180</v>
      </c>
      <c r="V111" s="184">
        <f t="shared" si="95"/>
        <v>180</v>
      </c>
      <c r="W111" s="184">
        <f t="shared" si="95"/>
        <v>180</v>
      </c>
      <c r="X111" s="184">
        <f t="shared" si="95"/>
        <v>180</v>
      </c>
      <c r="Y111" s="184">
        <f t="shared" si="95"/>
        <v>180</v>
      </c>
      <c r="Z111" s="184">
        <f t="shared" si="95"/>
        <v>180</v>
      </c>
      <c r="AA111" s="184">
        <f t="shared" si="95"/>
        <v>180</v>
      </c>
      <c r="AB111" s="184">
        <f t="shared" si="95"/>
        <v>180</v>
      </c>
      <c r="AC111" s="184">
        <f t="shared" si="95"/>
        <v>180</v>
      </c>
      <c r="AD111" s="184">
        <f t="shared" si="95"/>
        <v>180</v>
      </c>
      <c r="AE111" s="184">
        <f t="shared" si="95"/>
        <v>180</v>
      </c>
      <c r="AF111" s="184">
        <f t="shared" si="95"/>
        <v>180</v>
      </c>
      <c r="AG111" s="184">
        <f t="shared" si="95"/>
        <v>180</v>
      </c>
      <c r="AH111" s="184">
        <f t="shared" si="95"/>
        <v>180</v>
      </c>
      <c r="AI111" s="184">
        <f t="shared" si="95"/>
        <v>180</v>
      </c>
      <c r="AJ111" s="184">
        <f t="shared" si="95"/>
        <v>180</v>
      </c>
      <c r="AK111" s="184">
        <f t="shared" si="95"/>
        <v>180</v>
      </c>
      <c r="AL111" s="184">
        <f t="shared" si="95"/>
        <v>180</v>
      </c>
      <c r="AM111" s="184">
        <f t="shared" si="95"/>
        <v>180</v>
      </c>
      <c r="AN111" s="184">
        <f t="shared" si="95"/>
        <v>180</v>
      </c>
      <c r="AO111" s="184">
        <f t="shared" si="95"/>
        <v>180</v>
      </c>
      <c r="AP111" s="184">
        <f t="shared" si="95"/>
        <v>180</v>
      </c>
      <c r="AQ111" s="184">
        <f t="shared" si="95"/>
        <v>180</v>
      </c>
      <c r="AR111" s="184">
        <f t="shared" si="95"/>
        <v>180</v>
      </c>
      <c r="AS111" s="184">
        <f t="shared" si="95"/>
        <v>180</v>
      </c>
      <c r="AT111" s="184">
        <f t="shared" si="95"/>
        <v>180</v>
      </c>
      <c r="AU111" s="184">
        <f t="shared" si="95"/>
        <v>180</v>
      </c>
      <c r="AV111" s="184">
        <f t="shared" si="95"/>
        <v>180</v>
      </c>
      <c r="AW111" s="184">
        <f t="shared" si="95"/>
        <v>180</v>
      </c>
      <c r="AX111" s="184">
        <f t="shared" si="95"/>
        <v>180</v>
      </c>
      <c r="AY111" s="184">
        <f t="shared" si="95"/>
        <v>180</v>
      </c>
      <c r="AZ111" s="184">
        <f t="shared" si="95"/>
        <v>180</v>
      </c>
      <c r="BA111" s="184">
        <f t="shared" si="95"/>
        <v>180</v>
      </c>
      <c r="BB111" s="184">
        <f t="shared" si="95"/>
        <v>180</v>
      </c>
      <c r="BC111" s="184">
        <f t="shared" si="95"/>
        <v>180</v>
      </c>
      <c r="BD111" s="184">
        <f t="shared" si="95"/>
        <v>180</v>
      </c>
      <c r="BE111" s="184">
        <f t="shared" si="95"/>
        <v>180</v>
      </c>
      <c r="BF111" s="184">
        <f t="shared" si="95"/>
        <v>180</v>
      </c>
      <c r="BG111" s="184">
        <f t="shared" si="95"/>
        <v>180</v>
      </c>
      <c r="BH111" s="184">
        <f t="shared" si="95"/>
        <v>180</v>
      </c>
      <c r="BI111" s="184">
        <f t="shared" si="95"/>
        <v>180</v>
      </c>
      <c r="BJ111" s="184">
        <f t="shared" si="95"/>
        <v>180</v>
      </c>
      <c r="BK111" s="184">
        <f t="shared" si="95"/>
        <v>180</v>
      </c>
      <c r="BL111" s="184">
        <f t="shared" si="95"/>
        <v>180</v>
      </c>
      <c r="BM111" s="184">
        <f t="shared" si="95"/>
        <v>180</v>
      </c>
      <c r="BN111" s="184">
        <f t="shared" si="95"/>
        <v>180</v>
      </c>
      <c r="BO111" s="184">
        <f t="shared" si="95"/>
        <v>180</v>
      </c>
      <c r="BP111" s="184">
        <f t="shared" si="95"/>
        <v>180</v>
      </c>
      <c r="BQ111" s="184">
        <f t="shared" si="95"/>
        <v>180</v>
      </c>
      <c r="BR111" s="184">
        <f t="shared" ref="BR111:DT111" si="96">BR107*9%</f>
        <v>180</v>
      </c>
      <c r="BS111" s="184">
        <f t="shared" si="96"/>
        <v>180</v>
      </c>
      <c r="BT111" s="184">
        <f t="shared" si="96"/>
        <v>180</v>
      </c>
      <c r="BU111" s="184">
        <f t="shared" si="96"/>
        <v>180</v>
      </c>
      <c r="BV111" s="184">
        <f t="shared" si="96"/>
        <v>180</v>
      </c>
      <c r="BW111" s="184">
        <f t="shared" si="96"/>
        <v>180</v>
      </c>
      <c r="BX111" s="184">
        <f t="shared" si="96"/>
        <v>180</v>
      </c>
      <c r="BY111" s="184">
        <f t="shared" si="96"/>
        <v>180</v>
      </c>
      <c r="BZ111" s="184">
        <f t="shared" si="96"/>
        <v>180</v>
      </c>
      <c r="CA111" s="184">
        <f t="shared" si="96"/>
        <v>180</v>
      </c>
      <c r="CB111" s="184">
        <f t="shared" si="96"/>
        <v>180</v>
      </c>
      <c r="CC111" s="184">
        <f t="shared" si="96"/>
        <v>180</v>
      </c>
      <c r="CD111" s="184">
        <f t="shared" si="96"/>
        <v>180</v>
      </c>
      <c r="CE111" s="184">
        <f t="shared" si="96"/>
        <v>180</v>
      </c>
      <c r="CF111" s="184">
        <f t="shared" si="96"/>
        <v>180</v>
      </c>
      <c r="CG111" s="184">
        <f t="shared" si="96"/>
        <v>180</v>
      </c>
      <c r="CH111" s="184">
        <f t="shared" si="96"/>
        <v>180</v>
      </c>
      <c r="CI111" s="184">
        <f t="shared" si="96"/>
        <v>180</v>
      </c>
      <c r="CJ111" s="184">
        <f t="shared" si="96"/>
        <v>180</v>
      </c>
      <c r="CK111" s="184">
        <f t="shared" si="96"/>
        <v>180</v>
      </c>
      <c r="CL111" s="184">
        <f t="shared" si="96"/>
        <v>180</v>
      </c>
      <c r="CM111" s="184">
        <f t="shared" si="96"/>
        <v>180</v>
      </c>
      <c r="CN111" s="184">
        <f t="shared" si="96"/>
        <v>180</v>
      </c>
      <c r="CO111" s="184">
        <f t="shared" si="96"/>
        <v>180</v>
      </c>
      <c r="CP111" s="184">
        <f t="shared" si="96"/>
        <v>180</v>
      </c>
      <c r="CQ111" s="184">
        <f t="shared" si="96"/>
        <v>180</v>
      </c>
      <c r="CR111" s="184">
        <f t="shared" si="96"/>
        <v>180</v>
      </c>
      <c r="CS111" s="184">
        <f t="shared" si="96"/>
        <v>180</v>
      </c>
      <c r="CT111" s="184">
        <f t="shared" si="96"/>
        <v>180</v>
      </c>
      <c r="CU111" s="184">
        <f t="shared" si="96"/>
        <v>180</v>
      </c>
      <c r="CV111" s="184">
        <f t="shared" si="96"/>
        <v>180</v>
      </c>
      <c r="CW111" s="184">
        <f t="shared" si="96"/>
        <v>180</v>
      </c>
      <c r="CX111" s="184">
        <f t="shared" si="96"/>
        <v>180</v>
      </c>
      <c r="CY111" s="184">
        <f t="shared" si="96"/>
        <v>180</v>
      </c>
      <c r="CZ111" s="184">
        <f t="shared" si="96"/>
        <v>180</v>
      </c>
      <c r="DA111" s="184">
        <f t="shared" si="96"/>
        <v>180</v>
      </c>
      <c r="DB111" s="184">
        <f t="shared" si="96"/>
        <v>180</v>
      </c>
      <c r="DC111" s="184">
        <f t="shared" si="96"/>
        <v>180</v>
      </c>
      <c r="DD111" s="184">
        <f t="shared" si="96"/>
        <v>180</v>
      </c>
      <c r="DE111" s="184">
        <f t="shared" si="96"/>
        <v>180</v>
      </c>
      <c r="DF111" s="184">
        <f t="shared" si="96"/>
        <v>180</v>
      </c>
      <c r="DG111" s="184">
        <f t="shared" si="96"/>
        <v>180</v>
      </c>
      <c r="DH111" s="184">
        <f t="shared" si="96"/>
        <v>180</v>
      </c>
      <c r="DI111" s="184">
        <f t="shared" si="96"/>
        <v>180</v>
      </c>
      <c r="DJ111" s="184">
        <f t="shared" si="96"/>
        <v>180</v>
      </c>
      <c r="DK111" s="184">
        <f t="shared" si="96"/>
        <v>180</v>
      </c>
      <c r="DL111" s="184">
        <f t="shared" si="96"/>
        <v>180</v>
      </c>
      <c r="DM111" s="184">
        <f t="shared" si="96"/>
        <v>180</v>
      </c>
      <c r="DN111" s="184">
        <f t="shared" si="96"/>
        <v>180</v>
      </c>
      <c r="DO111" s="184">
        <f t="shared" si="96"/>
        <v>180</v>
      </c>
      <c r="DP111" s="184">
        <f t="shared" si="96"/>
        <v>180</v>
      </c>
      <c r="DQ111" s="184">
        <f t="shared" si="96"/>
        <v>180</v>
      </c>
      <c r="DR111" s="184">
        <f t="shared" si="96"/>
        <v>180</v>
      </c>
      <c r="DS111" s="184">
        <f t="shared" si="96"/>
        <v>180</v>
      </c>
      <c r="DT111" s="184">
        <f t="shared" si="96"/>
        <v>180</v>
      </c>
    </row>
    <row r="112" spans="2:124" x14ac:dyDescent="0.25">
      <c r="B112" s="824"/>
      <c r="C112" s="827"/>
      <c r="D112" s="481" t="s">
        <v>273</v>
      </c>
      <c r="E112" s="454">
        <f t="shared" ref="E112:AB112" si="97">SUM(E107:E111)</f>
        <v>2180</v>
      </c>
      <c r="F112" s="454">
        <f t="shared" si="97"/>
        <v>2180</v>
      </c>
      <c r="G112" s="454">
        <f t="shared" si="97"/>
        <v>2180</v>
      </c>
      <c r="H112" s="454">
        <f t="shared" si="97"/>
        <v>2180</v>
      </c>
      <c r="I112" s="454">
        <f t="shared" si="97"/>
        <v>2763.3333333333335</v>
      </c>
      <c r="J112" s="454">
        <f t="shared" si="97"/>
        <v>2180</v>
      </c>
      <c r="K112" s="454">
        <f t="shared" si="97"/>
        <v>3180</v>
      </c>
      <c r="L112" s="454">
        <f t="shared" si="97"/>
        <v>2180</v>
      </c>
      <c r="M112" s="454">
        <f t="shared" si="97"/>
        <v>2180</v>
      </c>
      <c r="N112" s="454">
        <f t="shared" si="97"/>
        <v>2180</v>
      </c>
      <c r="O112" s="454">
        <f t="shared" si="97"/>
        <v>2763.3333333333335</v>
      </c>
      <c r="P112" s="454">
        <f t="shared" si="97"/>
        <v>3180</v>
      </c>
      <c r="Q112" s="454">
        <f t="shared" si="97"/>
        <v>3180</v>
      </c>
      <c r="R112" s="454">
        <f t="shared" si="97"/>
        <v>2180</v>
      </c>
      <c r="S112" s="454">
        <f t="shared" si="97"/>
        <v>2180</v>
      </c>
      <c r="T112" s="454">
        <f t="shared" si="97"/>
        <v>2180</v>
      </c>
      <c r="U112" s="454">
        <f t="shared" si="97"/>
        <v>2763.3333333333335</v>
      </c>
      <c r="V112" s="454">
        <f t="shared" si="97"/>
        <v>2180</v>
      </c>
      <c r="W112" s="454">
        <f t="shared" si="97"/>
        <v>3180</v>
      </c>
      <c r="X112" s="454">
        <f t="shared" si="97"/>
        <v>2180</v>
      </c>
      <c r="Y112" s="454">
        <f t="shared" si="97"/>
        <v>2180</v>
      </c>
      <c r="Z112" s="454">
        <f t="shared" si="97"/>
        <v>2180</v>
      </c>
      <c r="AA112" s="454">
        <f t="shared" si="97"/>
        <v>2763.3333333333335</v>
      </c>
      <c r="AB112" s="454">
        <f t="shared" si="97"/>
        <v>3180</v>
      </c>
      <c r="AC112" s="454">
        <f t="shared" ref="AC112:CN112" si="98">SUM(AC107:AC111)</f>
        <v>3180</v>
      </c>
      <c r="AD112" s="454">
        <f t="shared" si="98"/>
        <v>2180</v>
      </c>
      <c r="AE112" s="454">
        <f t="shared" si="98"/>
        <v>2180</v>
      </c>
      <c r="AF112" s="454">
        <f t="shared" si="98"/>
        <v>2180</v>
      </c>
      <c r="AG112" s="454">
        <f t="shared" si="98"/>
        <v>2763.3333333333335</v>
      </c>
      <c r="AH112" s="454">
        <f t="shared" si="98"/>
        <v>2180</v>
      </c>
      <c r="AI112" s="454">
        <f t="shared" si="98"/>
        <v>3180</v>
      </c>
      <c r="AJ112" s="454">
        <f t="shared" si="98"/>
        <v>2180</v>
      </c>
      <c r="AK112" s="454">
        <f t="shared" si="98"/>
        <v>2180</v>
      </c>
      <c r="AL112" s="454">
        <f t="shared" si="98"/>
        <v>2180</v>
      </c>
      <c r="AM112" s="454">
        <f t="shared" si="98"/>
        <v>2763.3333333333335</v>
      </c>
      <c r="AN112" s="454">
        <f t="shared" si="98"/>
        <v>3180</v>
      </c>
      <c r="AO112" s="454">
        <f t="shared" si="98"/>
        <v>3180</v>
      </c>
      <c r="AP112" s="454">
        <f t="shared" si="98"/>
        <v>2180</v>
      </c>
      <c r="AQ112" s="454">
        <f t="shared" si="98"/>
        <v>2180</v>
      </c>
      <c r="AR112" s="454">
        <f t="shared" si="98"/>
        <v>2180</v>
      </c>
      <c r="AS112" s="454">
        <f t="shared" si="98"/>
        <v>2763.3333333333335</v>
      </c>
      <c r="AT112" s="454">
        <f t="shared" si="98"/>
        <v>2180</v>
      </c>
      <c r="AU112" s="454">
        <f t="shared" si="98"/>
        <v>3180</v>
      </c>
      <c r="AV112" s="454">
        <f t="shared" si="98"/>
        <v>2180</v>
      </c>
      <c r="AW112" s="454">
        <f t="shared" si="98"/>
        <v>2180</v>
      </c>
      <c r="AX112" s="454">
        <f t="shared" si="98"/>
        <v>2180</v>
      </c>
      <c r="AY112" s="454">
        <f t="shared" si="98"/>
        <v>2763.3333333333335</v>
      </c>
      <c r="AZ112" s="454">
        <f t="shared" si="98"/>
        <v>3180</v>
      </c>
      <c r="BA112" s="454">
        <f t="shared" si="98"/>
        <v>3180</v>
      </c>
      <c r="BB112" s="454">
        <f t="shared" si="98"/>
        <v>2180</v>
      </c>
      <c r="BC112" s="454">
        <f t="shared" si="98"/>
        <v>2180</v>
      </c>
      <c r="BD112" s="454">
        <f t="shared" si="98"/>
        <v>2180</v>
      </c>
      <c r="BE112" s="454">
        <f t="shared" si="98"/>
        <v>2763.3333333333335</v>
      </c>
      <c r="BF112" s="454">
        <f t="shared" si="98"/>
        <v>2180</v>
      </c>
      <c r="BG112" s="454">
        <f t="shared" si="98"/>
        <v>3180</v>
      </c>
      <c r="BH112" s="454">
        <f t="shared" si="98"/>
        <v>2180</v>
      </c>
      <c r="BI112" s="454">
        <f t="shared" si="98"/>
        <v>2180</v>
      </c>
      <c r="BJ112" s="454">
        <f t="shared" si="98"/>
        <v>2180</v>
      </c>
      <c r="BK112" s="454">
        <f t="shared" si="98"/>
        <v>2763.3333333333335</v>
      </c>
      <c r="BL112" s="454">
        <f t="shared" si="98"/>
        <v>3180</v>
      </c>
      <c r="BM112" s="454">
        <f t="shared" si="98"/>
        <v>3180</v>
      </c>
      <c r="BN112" s="454">
        <f t="shared" si="98"/>
        <v>2180</v>
      </c>
      <c r="BO112" s="454">
        <f t="shared" si="98"/>
        <v>2180</v>
      </c>
      <c r="BP112" s="454">
        <f t="shared" si="98"/>
        <v>2180</v>
      </c>
      <c r="BQ112" s="454">
        <f t="shared" si="98"/>
        <v>2763.3333333333335</v>
      </c>
      <c r="BR112" s="454">
        <f t="shared" si="98"/>
        <v>2180</v>
      </c>
      <c r="BS112" s="454">
        <f t="shared" si="98"/>
        <v>3180</v>
      </c>
      <c r="BT112" s="454">
        <f t="shared" si="98"/>
        <v>2180</v>
      </c>
      <c r="BU112" s="454">
        <f t="shared" si="98"/>
        <v>2180</v>
      </c>
      <c r="BV112" s="454">
        <f t="shared" si="98"/>
        <v>2180</v>
      </c>
      <c r="BW112" s="454">
        <f t="shared" si="98"/>
        <v>2763.3333333333335</v>
      </c>
      <c r="BX112" s="454">
        <f t="shared" si="98"/>
        <v>3180</v>
      </c>
      <c r="BY112" s="454">
        <f t="shared" si="98"/>
        <v>3180</v>
      </c>
      <c r="BZ112" s="454">
        <f t="shared" si="98"/>
        <v>2180</v>
      </c>
      <c r="CA112" s="454">
        <f t="shared" si="98"/>
        <v>2180</v>
      </c>
      <c r="CB112" s="454">
        <f t="shared" si="98"/>
        <v>2180</v>
      </c>
      <c r="CC112" s="454">
        <f t="shared" si="98"/>
        <v>2763.3333333333335</v>
      </c>
      <c r="CD112" s="454">
        <f t="shared" si="98"/>
        <v>2180</v>
      </c>
      <c r="CE112" s="454">
        <f t="shared" si="98"/>
        <v>3180</v>
      </c>
      <c r="CF112" s="454">
        <f t="shared" si="98"/>
        <v>2180</v>
      </c>
      <c r="CG112" s="454">
        <f t="shared" si="98"/>
        <v>2180</v>
      </c>
      <c r="CH112" s="454">
        <f t="shared" si="98"/>
        <v>2180</v>
      </c>
      <c r="CI112" s="454">
        <f t="shared" si="98"/>
        <v>2763.3333333333335</v>
      </c>
      <c r="CJ112" s="454">
        <f t="shared" si="98"/>
        <v>3180</v>
      </c>
      <c r="CK112" s="454">
        <f t="shared" si="98"/>
        <v>3180</v>
      </c>
      <c r="CL112" s="454">
        <f t="shared" si="98"/>
        <v>2180</v>
      </c>
      <c r="CM112" s="454">
        <f t="shared" si="98"/>
        <v>2180</v>
      </c>
      <c r="CN112" s="454">
        <f t="shared" si="98"/>
        <v>2180</v>
      </c>
      <c r="CO112" s="454">
        <f t="shared" ref="CO112:DT112" si="99">SUM(CO107:CO111)</f>
        <v>2763.3333333333335</v>
      </c>
      <c r="CP112" s="454">
        <f t="shared" si="99"/>
        <v>2180</v>
      </c>
      <c r="CQ112" s="454">
        <f t="shared" si="99"/>
        <v>3180</v>
      </c>
      <c r="CR112" s="454">
        <f t="shared" si="99"/>
        <v>2180</v>
      </c>
      <c r="CS112" s="454">
        <f t="shared" si="99"/>
        <v>2180</v>
      </c>
      <c r="CT112" s="454">
        <f t="shared" si="99"/>
        <v>2180</v>
      </c>
      <c r="CU112" s="454">
        <f t="shared" si="99"/>
        <v>2763.3333333333335</v>
      </c>
      <c r="CV112" s="454">
        <f t="shared" si="99"/>
        <v>3180</v>
      </c>
      <c r="CW112" s="454">
        <f t="shared" si="99"/>
        <v>3180</v>
      </c>
      <c r="CX112" s="454">
        <f t="shared" si="99"/>
        <v>2180</v>
      </c>
      <c r="CY112" s="454">
        <f t="shared" si="99"/>
        <v>2180</v>
      </c>
      <c r="CZ112" s="454">
        <f t="shared" si="99"/>
        <v>2180</v>
      </c>
      <c r="DA112" s="454">
        <f t="shared" si="99"/>
        <v>2763.3333333333335</v>
      </c>
      <c r="DB112" s="454">
        <f t="shared" si="99"/>
        <v>2180</v>
      </c>
      <c r="DC112" s="454">
        <f t="shared" si="99"/>
        <v>3180</v>
      </c>
      <c r="DD112" s="454">
        <f t="shared" si="99"/>
        <v>2180</v>
      </c>
      <c r="DE112" s="454">
        <f t="shared" si="99"/>
        <v>2180</v>
      </c>
      <c r="DF112" s="454">
        <f t="shared" si="99"/>
        <v>2180</v>
      </c>
      <c r="DG112" s="454">
        <f t="shared" si="99"/>
        <v>2763.3333333333335</v>
      </c>
      <c r="DH112" s="454">
        <f t="shared" si="99"/>
        <v>3180</v>
      </c>
      <c r="DI112" s="454">
        <f t="shared" si="99"/>
        <v>3180</v>
      </c>
      <c r="DJ112" s="454">
        <f t="shared" si="99"/>
        <v>2180</v>
      </c>
      <c r="DK112" s="454">
        <f t="shared" si="99"/>
        <v>2180</v>
      </c>
      <c r="DL112" s="454">
        <f t="shared" si="99"/>
        <v>2180</v>
      </c>
      <c r="DM112" s="454">
        <f t="shared" si="99"/>
        <v>2763.3333333333335</v>
      </c>
      <c r="DN112" s="454">
        <f t="shared" si="99"/>
        <v>2180</v>
      </c>
      <c r="DO112" s="454">
        <f t="shared" si="99"/>
        <v>3180</v>
      </c>
      <c r="DP112" s="454">
        <f t="shared" si="99"/>
        <v>2180</v>
      </c>
      <c r="DQ112" s="454">
        <f t="shared" si="99"/>
        <v>2180</v>
      </c>
      <c r="DR112" s="454">
        <f t="shared" si="99"/>
        <v>2180</v>
      </c>
      <c r="DS112" s="454">
        <f t="shared" si="99"/>
        <v>2763.3333333333335</v>
      </c>
      <c r="DT112" s="454">
        <f t="shared" si="99"/>
        <v>3180</v>
      </c>
    </row>
    <row r="113" spans="1:124" x14ac:dyDescent="0.25">
      <c r="B113" s="828" t="s">
        <v>257</v>
      </c>
      <c r="C113" s="830" t="s">
        <v>274</v>
      </c>
      <c r="D113" s="438" t="s">
        <v>254</v>
      </c>
      <c r="E113" s="184">
        <f>F83</f>
        <v>2400</v>
      </c>
      <c r="F113" s="184">
        <f t="shared" ref="F113:AB113" si="100">E113</f>
        <v>2400</v>
      </c>
      <c r="G113" s="184">
        <f t="shared" si="100"/>
        <v>2400</v>
      </c>
      <c r="H113" s="184">
        <f t="shared" si="100"/>
        <v>2400</v>
      </c>
      <c r="I113" s="184">
        <f t="shared" si="100"/>
        <v>2400</v>
      </c>
      <c r="J113" s="184">
        <f t="shared" si="100"/>
        <v>2400</v>
      </c>
      <c r="K113" s="184">
        <f t="shared" si="100"/>
        <v>2400</v>
      </c>
      <c r="L113" s="184">
        <f t="shared" si="100"/>
        <v>2400</v>
      </c>
      <c r="M113" s="184">
        <f t="shared" si="100"/>
        <v>2400</v>
      </c>
      <c r="N113" s="184">
        <f t="shared" si="100"/>
        <v>2400</v>
      </c>
      <c r="O113" s="184">
        <f t="shared" si="100"/>
        <v>2400</v>
      </c>
      <c r="P113" s="184">
        <f t="shared" si="100"/>
        <v>2400</v>
      </c>
      <c r="Q113" s="184">
        <f>U83</f>
        <v>2400</v>
      </c>
      <c r="R113" s="184">
        <f t="shared" si="100"/>
        <v>2400</v>
      </c>
      <c r="S113" s="184">
        <f t="shared" si="100"/>
        <v>2400</v>
      </c>
      <c r="T113" s="184">
        <f t="shared" si="100"/>
        <v>2400</v>
      </c>
      <c r="U113" s="184">
        <f t="shared" si="100"/>
        <v>2400</v>
      </c>
      <c r="V113" s="184">
        <f t="shared" si="100"/>
        <v>2400</v>
      </c>
      <c r="W113" s="184">
        <f t="shared" si="100"/>
        <v>2400</v>
      </c>
      <c r="X113" s="184">
        <f t="shared" si="100"/>
        <v>2400</v>
      </c>
      <c r="Y113" s="184">
        <f t="shared" si="100"/>
        <v>2400</v>
      </c>
      <c r="Z113" s="184">
        <f t="shared" si="100"/>
        <v>2400</v>
      </c>
      <c r="AA113" s="184">
        <f t="shared" si="100"/>
        <v>2400</v>
      </c>
      <c r="AB113" s="184">
        <f t="shared" si="100"/>
        <v>2400</v>
      </c>
      <c r="AC113" s="184">
        <f>AG83</f>
        <v>2400</v>
      </c>
      <c r="AD113" s="184">
        <f t="shared" ref="AD113:AN113" si="101">AC113</f>
        <v>2400</v>
      </c>
      <c r="AE113" s="184">
        <f t="shared" si="101"/>
        <v>2400</v>
      </c>
      <c r="AF113" s="184">
        <f t="shared" si="101"/>
        <v>2400</v>
      </c>
      <c r="AG113" s="184">
        <f t="shared" si="101"/>
        <v>2400</v>
      </c>
      <c r="AH113" s="184">
        <f t="shared" si="101"/>
        <v>2400</v>
      </c>
      <c r="AI113" s="184">
        <f t="shared" si="101"/>
        <v>2400</v>
      </c>
      <c r="AJ113" s="184">
        <f t="shared" si="101"/>
        <v>2400</v>
      </c>
      <c r="AK113" s="184">
        <f t="shared" si="101"/>
        <v>2400</v>
      </c>
      <c r="AL113" s="184">
        <f t="shared" si="101"/>
        <v>2400</v>
      </c>
      <c r="AM113" s="184">
        <f t="shared" si="101"/>
        <v>2400</v>
      </c>
      <c r="AN113" s="184">
        <f t="shared" si="101"/>
        <v>2400</v>
      </c>
      <c r="AO113" s="184">
        <f>AS83</f>
        <v>2400</v>
      </c>
      <c r="AP113" s="184">
        <f t="shared" ref="AP113:AZ113" si="102">AO113</f>
        <v>2400</v>
      </c>
      <c r="AQ113" s="184">
        <f t="shared" si="102"/>
        <v>2400</v>
      </c>
      <c r="AR113" s="184">
        <f t="shared" si="102"/>
        <v>2400</v>
      </c>
      <c r="AS113" s="184">
        <f t="shared" si="102"/>
        <v>2400</v>
      </c>
      <c r="AT113" s="184">
        <f t="shared" si="102"/>
        <v>2400</v>
      </c>
      <c r="AU113" s="184">
        <f t="shared" si="102"/>
        <v>2400</v>
      </c>
      <c r="AV113" s="184">
        <f t="shared" si="102"/>
        <v>2400</v>
      </c>
      <c r="AW113" s="184">
        <f t="shared" si="102"/>
        <v>2400</v>
      </c>
      <c r="AX113" s="184">
        <f t="shared" si="102"/>
        <v>2400</v>
      </c>
      <c r="AY113" s="184">
        <f t="shared" si="102"/>
        <v>2400</v>
      </c>
      <c r="AZ113" s="184">
        <f t="shared" si="102"/>
        <v>2400</v>
      </c>
      <c r="BA113" s="184">
        <f>BE83</f>
        <v>2400</v>
      </c>
      <c r="BB113" s="184">
        <f t="shared" ref="BB113:BL113" si="103">BA113</f>
        <v>2400</v>
      </c>
      <c r="BC113" s="184">
        <f t="shared" si="103"/>
        <v>2400</v>
      </c>
      <c r="BD113" s="184">
        <f t="shared" si="103"/>
        <v>2400</v>
      </c>
      <c r="BE113" s="184">
        <f t="shared" si="103"/>
        <v>2400</v>
      </c>
      <c r="BF113" s="184">
        <f t="shared" si="103"/>
        <v>2400</v>
      </c>
      <c r="BG113" s="184">
        <f t="shared" si="103"/>
        <v>2400</v>
      </c>
      <c r="BH113" s="184">
        <f t="shared" si="103"/>
        <v>2400</v>
      </c>
      <c r="BI113" s="184">
        <f t="shared" si="103"/>
        <v>2400</v>
      </c>
      <c r="BJ113" s="184">
        <f t="shared" si="103"/>
        <v>2400</v>
      </c>
      <c r="BK113" s="184">
        <f t="shared" si="103"/>
        <v>2400</v>
      </c>
      <c r="BL113" s="184">
        <f t="shared" si="103"/>
        <v>2400</v>
      </c>
      <c r="BM113" s="184">
        <f>BQ83</f>
        <v>2400</v>
      </c>
      <c r="BN113" s="184">
        <f t="shared" ref="BN113:BX113" si="104">BM113</f>
        <v>2400</v>
      </c>
      <c r="BO113" s="184">
        <f t="shared" si="104"/>
        <v>2400</v>
      </c>
      <c r="BP113" s="184">
        <f t="shared" si="104"/>
        <v>2400</v>
      </c>
      <c r="BQ113" s="184">
        <f t="shared" si="104"/>
        <v>2400</v>
      </c>
      <c r="BR113" s="184">
        <f t="shared" si="104"/>
        <v>2400</v>
      </c>
      <c r="BS113" s="184">
        <f t="shared" si="104"/>
        <v>2400</v>
      </c>
      <c r="BT113" s="184">
        <f t="shared" si="104"/>
        <v>2400</v>
      </c>
      <c r="BU113" s="184">
        <f t="shared" si="104"/>
        <v>2400</v>
      </c>
      <c r="BV113" s="184">
        <f t="shared" si="104"/>
        <v>2400</v>
      </c>
      <c r="BW113" s="184">
        <f t="shared" si="104"/>
        <v>2400</v>
      </c>
      <c r="BX113" s="184">
        <f t="shared" si="104"/>
        <v>2400</v>
      </c>
      <c r="BY113" s="184">
        <f>CC83</f>
        <v>2400</v>
      </c>
      <c r="BZ113" s="184">
        <f t="shared" ref="BZ113:CJ113" si="105">BY113</f>
        <v>2400</v>
      </c>
      <c r="CA113" s="184">
        <f t="shared" si="105"/>
        <v>2400</v>
      </c>
      <c r="CB113" s="184">
        <f t="shared" si="105"/>
        <v>2400</v>
      </c>
      <c r="CC113" s="184">
        <f t="shared" si="105"/>
        <v>2400</v>
      </c>
      <c r="CD113" s="184">
        <f t="shared" si="105"/>
        <v>2400</v>
      </c>
      <c r="CE113" s="184">
        <f t="shared" si="105"/>
        <v>2400</v>
      </c>
      <c r="CF113" s="184">
        <f t="shared" si="105"/>
        <v>2400</v>
      </c>
      <c r="CG113" s="184">
        <f t="shared" si="105"/>
        <v>2400</v>
      </c>
      <c r="CH113" s="184">
        <f t="shared" si="105"/>
        <v>2400</v>
      </c>
      <c r="CI113" s="184">
        <f t="shared" si="105"/>
        <v>2400</v>
      </c>
      <c r="CJ113" s="184">
        <f t="shared" si="105"/>
        <v>2400</v>
      </c>
      <c r="CK113" s="184">
        <f>CO83</f>
        <v>2400</v>
      </c>
      <c r="CL113" s="184">
        <f t="shared" ref="CL113:CV113" si="106">CK113</f>
        <v>2400</v>
      </c>
      <c r="CM113" s="184">
        <f t="shared" si="106"/>
        <v>2400</v>
      </c>
      <c r="CN113" s="184">
        <f t="shared" si="106"/>
        <v>2400</v>
      </c>
      <c r="CO113" s="184">
        <f t="shared" si="106"/>
        <v>2400</v>
      </c>
      <c r="CP113" s="184">
        <f t="shared" si="106"/>
        <v>2400</v>
      </c>
      <c r="CQ113" s="184">
        <f t="shared" si="106"/>
        <v>2400</v>
      </c>
      <c r="CR113" s="184">
        <f t="shared" si="106"/>
        <v>2400</v>
      </c>
      <c r="CS113" s="184">
        <f t="shared" si="106"/>
        <v>2400</v>
      </c>
      <c r="CT113" s="184">
        <f t="shared" si="106"/>
        <v>2400</v>
      </c>
      <c r="CU113" s="184">
        <f t="shared" si="106"/>
        <v>2400</v>
      </c>
      <c r="CV113" s="184">
        <f t="shared" si="106"/>
        <v>2400</v>
      </c>
      <c r="CW113" s="184">
        <f>DA83</f>
        <v>2400</v>
      </c>
      <c r="CX113" s="184">
        <f t="shared" ref="CX113:DH113" si="107">CW113</f>
        <v>2400</v>
      </c>
      <c r="CY113" s="184">
        <f t="shared" si="107"/>
        <v>2400</v>
      </c>
      <c r="CZ113" s="184">
        <f t="shared" si="107"/>
        <v>2400</v>
      </c>
      <c r="DA113" s="184">
        <f t="shared" si="107"/>
        <v>2400</v>
      </c>
      <c r="DB113" s="184">
        <f t="shared" si="107"/>
        <v>2400</v>
      </c>
      <c r="DC113" s="184">
        <f t="shared" si="107"/>
        <v>2400</v>
      </c>
      <c r="DD113" s="184">
        <f t="shared" si="107"/>
        <v>2400</v>
      </c>
      <c r="DE113" s="184">
        <f t="shared" si="107"/>
        <v>2400</v>
      </c>
      <c r="DF113" s="184">
        <f t="shared" si="107"/>
        <v>2400</v>
      </c>
      <c r="DG113" s="184">
        <f t="shared" si="107"/>
        <v>2400</v>
      </c>
      <c r="DH113" s="184">
        <f t="shared" si="107"/>
        <v>2400</v>
      </c>
      <c r="DI113" s="184">
        <f>DM83</f>
        <v>2400</v>
      </c>
      <c r="DJ113" s="184">
        <f t="shared" ref="DJ113:DT113" si="108">DI113</f>
        <v>2400</v>
      </c>
      <c r="DK113" s="184">
        <f t="shared" si="108"/>
        <v>2400</v>
      </c>
      <c r="DL113" s="184">
        <f t="shared" si="108"/>
        <v>2400</v>
      </c>
      <c r="DM113" s="184">
        <f t="shared" si="108"/>
        <v>2400</v>
      </c>
      <c r="DN113" s="184">
        <f t="shared" si="108"/>
        <v>2400</v>
      </c>
      <c r="DO113" s="184">
        <f t="shared" si="108"/>
        <v>2400</v>
      </c>
      <c r="DP113" s="184">
        <f t="shared" si="108"/>
        <v>2400</v>
      </c>
      <c r="DQ113" s="184">
        <f t="shared" si="108"/>
        <v>2400</v>
      </c>
      <c r="DR113" s="184">
        <f t="shared" si="108"/>
        <v>2400</v>
      </c>
      <c r="DS113" s="184">
        <f t="shared" si="108"/>
        <v>2400</v>
      </c>
      <c r="DT113" s="184">
        <f t="shared" si="108"/>
        <v>2400</v>
      </c>
    </row>
    <row r="114" spans="1:124" x14ac:dyDescent="0.25">
      <c r="B114" s="824"/>
      <c r="C114" s="826"/>
      <c r="D114" s="438" t="s">
        <v>270</v>
      </c>
      <c r="E114" s="184"/>
      <c r="F114" s="184"/>
      <c r="G114" s="184"/>
      <c r="H114" s="184"/>
      <c r="I114" s="184"/>
      <c r="J114" s="184"/>
      <c r="K114" s="184">
        <f>J113/2</f>
        <v>1200</v>
      </c>
      <c r="L114" s="184"/>
      <c r="M114" s="184"/>
      <c r="N114" s="184"/>
      <c r="O114" s="184"/>
      <c r="P114" s="184">
        <f>O113/2</f>
        <v>1200</v>
      </c>
      <c r="Q114" s="184"/>
      <c r="R114" s="184"/>
      <c r="S114" s="184"/>
      <c r="T114" s="184"/>
      <c r="U114" s="184"/>
      <c r="V114" s="184"/>
      <c r="W114" s="184">
        <f>V113</f>
        <v>2400</v>
      </c>
      <c r="X114" s="184"/>
      <c r="Y114" s="184"/>
      <c r="Z114" s="184"/>
      <c r="AA114" s="184"/>
      <c r="AB114" s="184">
        <f>AA113</f>
        <v>2400</v>
      </c>
      <c r="AC114" s="184"/>
      <c r="AD114" s="184"/>
      <c r="AE114" s="184"/>
      <c r="AF114" s="184"/>
      <c r="AG114" s="184"/>
      <c r="AH114" s="184"/>
      <c r="AI114" s="184">
        <f>AH113</f>
        <v>2400</v>
      </c>
      <c r="AJ114" s="184"/>
      <c r="AK114" s="184"/>
      <c r="AL114" s="184"/>
      <c r="AM114" s="184"/>
      <c r="AN114" s="184">
        <f>AM113</f>
        <v>2400</v>
      </c>
      <c r="AO114" s="184"/>
      <c r="AP114" s="184"/>
      <c r="AQ114" s="184"/>
      <c r="AR114" s="184"/>
      <c r="AS114" s="184"/>
      <c r="AT114" s="184"/>
      <c r="AU114" s="184">
        <f>AT113</f>
        <v>2400</v>
      </c>
      <c r="AV114" s="184"/>
      <c r="AW114" s="184"/>
      <c r="AX114" s="184"/>
      <c r="AY114" s="184"/>
      <c r="AZ114" s="184">
        <f>AY113</f>
        <v>2400</v>
      </c>
      <c r="BA114" s="184"/>
      <c r="BB114" s="184"/>
      <c r="BC114" s="184"/>
      <c r="BD114" s="184"/>
      <c r="BE114" s="184"/>
      <c r="BF114" s="184"/>
      <c r="BG114" s="184">
        <f>BF113</f>
        <v>2400</v>
      </c>
      <c r="BH114" s="184"/>
      <c r="BI114" s="184"/>
      <c r="BJ114" s="184"/>
      <c r="BK114" s="184"/>
      <c r="BL114" s="184">
        <f>BK113</f>
        <v>2400</v>
      </c>
      <c r="BM114" s="184"/>
      <c r="BN114" s="184"/>
      <c r="BO114" s="184"/>
      <c r="BP114" s="184"/>
      <c r="BQ114" s="184"/>
      <c r="BR114" s="184"/>
      <c r="BS114" s="184">
        <f>BR113</f>
        <v>2400</v>
      </c>
      <c r="BT114" s="184"/>
      <c r="BU114" s="184"/>
      <c r="BV114" s="184"/>
      <c r="BW114" s="184"/>
      <c r="BX114" s="184">
        <f>BW113</f>
        <v>2400</v>
      </c>
      <c r="BY114" s="184"/>
      <c r="BZ114" s="184"/>
      <c r="CA114" s="184"/>
      <c r="CB114" s="184"/>
      <c r="CC114" s="184"/>
      <c r="CD114" s="184"/>
      <c r="CE114" s="184">
        <f>CD113</f>
        <v>2400</v>
      </c>
      <c r="CF114" s="184"/>
      <c r="CG114" s="184"/>
      <c r="CH114" s="184"/>
      <c r="CI114" s="184"/>
      <c r="CJ114" s="184">
        <f>CI113</f>
        <v>2400</v>
      </c>
      <c r="CK114" s="184"/>
      <c r="CL114" s="184"/>
      <c r="CM114" s="184"/>
      <c r="CN114" s="184"/>
      <c r="CO114" s="184"/>
      <c r="CP114" s="184"/>
      <c r="CQ114" s="184">
        <f>CP113</f>
        <v>2400</v>
      </c>
      <c r="CR114" s="184"/>
      <c r="CS114" s="184"/>
      <c r="CT114" s="184"/>
      <c r="CU114" s="184"/>
      <c r="CV114" s="184">
        <f>CU113</f>
        <v>2400</v>
      </c>
      <c r="CW114" s="184"/>
      <c r="CX114" s="184"/>
      <c r="CY114" s="184"/>
      <c r="CZ114" s="184"/>
      <c r="DA114" s="184"/>
      <c r="DB114" s="184"/>
      <c r="DC114" s="184">
        <f>DB113</f>
        <v>2400</v>
      </c>
      <c r="DD114" s="184"/>
      <c r="DE114" s="184"/>
      <c r="DF114" s="184"/>
      <c r="DG114" s="184"/>
      <c r="DH114" s="184">
        <f>DG113</f>
        <v>2400</v>
      </c>
      <c r="DI114" s="184"/>
      <c r="DJ114" s="184"/>
      <c r="DK114" s="184"/>
      <c r="DL114" s="184"/>
      <c r="DM114" s="184"/>
      <c r="DN114" s="184"/>
      <c r="DO114" s="184">
        <f>DN113</f>
        <v>2400</v>
      </c>
      <c r="DP114" s="184"/>
      <c r="DQ114" s="184"/>
      <c r="DR114" s="184"/>
      <c r="DS114" s="184"/>
      <c r="DT114" s="184">
        <f>DS113</f>
        <v>2400</v>
      </c>
    </row>
    <row r="115" spans="1:124" x14ac:dyDescent="0.25">
      <c r="B115" s="824"/>
      <c r="C115" s="826"/>
      <c r="D115" s="438" t="s">
        <v>271</v>
      </c>
      <c r="E115" s="184"/>
      <c r="F115" s="184"/>
      <c r="G115" s="184"/>
      <c r="H115" s="184"/>
      <c r="I115" s="184">
        <f>(((H113/2)+K114/6)/12)*6</f>
        <v>700</v>
      </c>
      <c r="J115" s="184"/>
      <c r="K115" s="184"/>
      <c r="L115" s="184"/>
      <c r="M115" s="184"/>
      <c r="N115" s="184"/>
      <c r="O115" s="184">
        <f>(((N113/2)+P114/6)/12)*6</f>
        <v>700</v>
      </c>
      <c r="P115" s="184"/>
      <c r="Q115" s="184"/>
      <c r="R115" s="184"/>
      <c r="S115" s="184"/>
      <c r="T115" s="184"/>
      <c r="U115" s="184">
        <f>((T113+W114/6)/12)*6</f>
        <v>1400</v>
      </c>
      <c r="V115" s="184"/>
      <c r="W115" s="184"/>
      <c r="X115" s="184"/>
      <c r="Y115" s="184"/>
      <c r="Z115" s="184"/>
      <c r="AA115" s="184">
        <f>((Z113+AB114/6)/12)*6</f>
        <v>1400</v>
      </c>
      <c r="AB115" s="184"/>
      <c r="AC115" s="184"/>
      <c r="AD115" s="184"/>
      <c r="AE115" s="184"/>
      <c r="AF115" s="184"/>
      <c r="AG115" s="184">
        <f>((AF113+AI114/6)/12)*6</f>
        <v>1400</v>
      </c>
      <c r="AH115" s="184"/>
      <c r="AI115" s="184"/>
      <c r="AJ115" s="184"/>
      <c r="AK115" s="184"/>
      <c r="AL115" s="184"/>
      <c r="AM115" s="184">
        <f>((AL113+AN114/6)/12)*6</f>
        <v>1400</v>
      </c>
      <c r="AN115" s="184"/>
      <c r="AO115" s="184"/>
      <c r="AP115" s="184"/>
      <c r="AQ115" s="184"/>
      <c r="AR115" s="184"/>
      <c r="AS115" s="184">
        <f>((AR113+AU114/6)/12)*6</f>
        <v>1400</v>
      </c>
      <c r="AT115" s="184"/>
      <c r="AU115" s="184"/>
      <c r="AV115" s="184"/>
      <c r="AW115" s="184"/>
      <c r="AX115" s="184"/>
      <c r="AY115" s="184">
        <f>((AX113+AZ114/6)/12)*6</f>
        <v>1400</v>
      </c>
      <c r="AZ115" s="184"/>
      <c r="BA115" s="184"/>
      <c r="BB115" s="184"/>
      <c r="BC115" s="184"/>
      <c r="BD115" s="184"/>
      <c r="BE115" s="184">
        <f>((BD113+BG114/6)/12)*6</f>
        <v>1400</v>
      </c>
      <c r="BF115" s="184"/>
      <c r="BG115" s="184"/>
      <c r="BH115" s="184"/>
      <c r="BI115" s="184"/>
      <c r="BJ115" s="184"/>
      <c r="BK115" s="184">
        <f>((BJ113+BL114/6)/12)*6</f>
        <v>1400</v>
      </c>
      <c r="BL115" s="184"/>
      <c r="BM115" s="184"/>
      <c r="BN115" s="184"/>
      <c r="BO115" s="184"/>
      <c r="BP115" s="184"/>
      <c r="BQ115" s="184">
        <f>((BP113+BS114/6)/12)*6</f>
        <v>1400</v>
      </c>
      <c r="BR115" s="184"/>
      <c r="BS115" s="184"/>
      <c r="BT115" s="184"/>
      <c r="BU115" s="184"/>
      <c r="BV115" s="184"/>
      <c r="BW115" s="184">
        <f>((BV113+BX114/6)/12)*6</f>
        <v>1400</v>
      </c>
      <c r="BX115" s="184"/>
      <c r="BY115" s="184"/>
      <c r="BZ115" s="184"/>
      <c r="CA115" s="184"/>
      <c r="CB115" s="184"/>
      <c r="CC115" s="184">
        <f>((CB113+CE114/6)/12)*6</f>
        <v>1400</v>
      </c>
      <c r="CD115" s="184"/>
      <c r="CE115" s="184"/>
      <c r="CF115" s="184"/>
      <c r="CG115" s="184"/>
      <c r="CH115" s="184"/>
      <c r="CI115" s="184">
        <f>((CH113+CJ114/6)/12)*6</f>
        <v>1400</v>
      </c>
      <c r="CJ115" s="184"/>
      <c r="CK115" s="184"/>
      <c r="CL115" s="184"/>
      <c r="CM115" s="184"/>
      <c r="CN115" s="184"/>
      <c r="CO115" s="184">
        <f>((CN113+CQ114/6)/12)*6</f>
        <v>1400</v>
      </c>
      <c r="CP115" s="184"/>
      <c r="CQ115" s="184"/>
      <c r="CR115" s="184"/>
      <c r="CS115" s="184"/>
      <c r="CT115" s="184"/>
      <c r="CU115" s="184">
        <f>((CT113+CV114/6)/12)*6</f>
        <v>1400</v>
      </c>
      <c r="CV115" s="184"/>
      <c r="CW115" s="184"/>
      <c r="CX115" s="184"/>
      <c r="CY115" s="184"/>
      <c r="CZ115" s="184"/>
      <c r="DA115" s="184">
        <f>((CZ113+DC114/6)/12)*6</f>
        <v>1400</v>
      </c>
      <c r="DB115" s="184"/>
      <c r="DC115" s="184"/>
      <c r="DD115" s="184"/>
      <c r="DE115" s="184"/>
      <c r="DF115" s="184"/>
      <c r="DG115" s="184">
        <f>((DF113+DH114/6)/12)*6</f>
        <v>1400</v>
      </c>
      <c r="DH115" s="184"/>
      <c r="DI115" s="184"/>
      <c r="DJ115" s="184"/>
      <c r="DK115" s="184"/>
      <c r="DL115" s="184"/>
      <c r="DM115" s="184">
        <f>((DL113+DO114/6)/12)*6</f>
        <v>1400</v>
      </c>
      <c r="DN115" s="184"/>
      <c r="DO115" s="184"/>
      <c r="DP115" s="184"/>
      <c r="DQ115" s="184"/>
      <c r="DR115" s="184"/>
      <c r="DS115" s="184">
        <f>((DR113+DT114/6)/12)*6</f>
        <v>1400</v>
      </c>
      <c r="DT115" s="184"/>
    </row>
    <row r="116" spans="1:124" x14ac:dyDescent="0.25">
      <c r="B116" s="824"/>
      <c r="C116" s="826"/>
      <c r="D116" s="438" t="s">
        <v>592</v>
      </c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>
        <f>(Q113/24)*12</f>
        <v>1200</v>
      </c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>
        <f>(AC113/24)*12</f>
        <v>1200</v>
      </c>
      <c r="AD116" s="184"/>
      <c r="AE116" s="184"/>
      <c r="AF116" s="184"/>
      <c r="AG116" s="184"/>
      <c r="AH116" s="184"/>
      <c r="AI116" s="184"/>
      <c r="AJ116" s="184"/>
      <c r="AK116" s="184"/>
      <c r="AL116" s="184"/>
      <c r="AM116" s="184"/>
      <c r="AN116" s="184"/>
      <c r="AO116" s="184">
        <f>(AO113/24)*12</f>
        <v>1200</v>
      </c>
      <c r="AP116" s="184"/>
      <c r="AQ116" s="184"/>
      <c r="AR116" s="184"/>
      <c r="AS116" s="184"/>
      <c r="AT116" s="184"/>
      <c r="AU116" s="184"/>
      <c r="AV116" s="184"/>
      <c r="AW116" s="184"/>
      <c r="AX116" s="184"/>
      <c r="AY116" s="184"/>
      <c r="AZ116" s="184"/>
      <c r="BA116" s="184">
        <f>(BA113/24)*12</f>
        <v>1200</v>
      </c>
      <c r="BB116" s="184"/>
      <c r="BC116" s="184"/>
      <c r="BD116" s="184"/>
      <c r="BE116" s="184"/>
      <c r="BF116" s="184"/>
      <c r="BG116" s="184"/>
      <c r="BH116" s="184"/>
      <c r="BI116" s="184"/>
      <c r="BJ116" s="184"/>
      <c r="BK116" s="184"/>
      <c r="BL116" s="184"/>
      <c r="BM116" s="184">
        <f>(BM113/24)*12</f>
        <v>1200</v>
      </c>
      <c r="BN116" s="184"/>
      <c r="BO116" s="184"/>
      <c r="BP116" s="184"/>
      <c r="BQ116" s="184"/>
      <c r="BR116" s="184"/>
      <c r="BS116" s="184"/>
      <c r="BT116" s="184"/>
      <c r="BU116" s="184"/>
      <c r="BV116" s="184"/>
      <c r="BW116" s="184"/>
      <c r="BX116" s="184"/>
      <c r="BY116" s="184">
        <f>(BY113/24)*12</f>
        <v>1200</v>
      </c>
      <c r="BZ116" s="184"/>
      <c r="CA116" s="184"/>
      <c r="CB116" s="184"/>
      <c r="CC116" s="184"/>
      <c r="CD116" s="184"/>
      <c r="CE116" s="184"/>
      <c r="CF116" s="184"/>
      <c r="CG116" s="184"/>
      <c r="CH116" s="184"/>
      <c r="CI116" s="184"/>
      <c r="CJ116" s="184"/>
      <c r="CK116" s="184">
        <f>(CK113/24)*12</f>
        <v>1200</v>
      </c>
      <c r="CL116" s="184"/>
      <c r="CM116" s="184"/>
      <c r="CN116" s="184"/>
      <c r="CO116" s="184"/>
      <c r="CP116" s="184"/>
      <c r="CQ116" s="184"/>
      <c r="CR116" s="184"/>
      <c r="CS116" s="184"/>
      <c r="CT116" s="184"/>
      <c r="CU116" s="184"/>
      <c r="CV116" s="184"/>
      <c r="CW116" s="184">
        <f>(CW113/24)*12</f>
        <v>1200</v>
      </c>
      <c r="CX116" s="184"/>
      <c r="CY116" s="184"/>
      <c r="CZ116" s="184"/>
      <c r="DA116" s="184"/>
      <c r="DB116" s="184"/>
      <c r="DC116" s="184"/>
      <c r="DD116" s="184"/>
      <c r="DE116" s="184"/>
      <c r="DF116" s="184"/>
      <c r="DG116" s="184"/>
      <c r="DH116" s="184"/>
      <c r="DI116" s="184">
        <f>(DI113/24)*12</f>
        <v>1200</v>
      </c>
      <c r="DJ116" s="184"/>
      <c r="DK116" s="184"/>
      <c r="DL116" s="184"/>
      <c r="DM116" s="184"/>
      <c r="DN116" s="184"/>
      <c r="DO116" s="184"/>
      <c r="DP116" s="184"/>
      <c r="DQ116" s="184"/>
      <c r="DR116" s="184"/>
      <c r="DS116" s="184"/>
      <c r="DT116" s="184"/>
    </row>
    <row r="117" spans="1:124" x14ac:dyDescent="0.25">
      <c r="B117" s="824"/>
      <c r="C117" s="826"/>
      <c r="D117" s="438" t="s">
        <v>272</v>
      </c>
      <c r="E117" s="184">
        <f t="shared" ref="E117:BP117" si="109">E113*9%</f>
        <v>216</v>
      </c>
      <c r="F117" s="184">
        <f t="shared" si="109"/>
        <v>216</v>
      </c>
      <c r="G117" s="184">
        <f t="shared" si="109"/>
        <v>216</v>
      </c>
      <c r="H117" s="184">
        <f t="shared" si="109"/>
        <v>216</v>
      </c>
      <c r="I117" s="184">
        <f t="shared" si="109"/>
        <v>216</v>
      </c>
      <c r="J117" s="184">
        <f t="shared" si="109"/>
        <v>216</v>
      </c>
      <c r="K117" s="184">
        <f t="shared" si="109"/>
        <v>216</v>
      </c>
      <c r="L117" s="184">
        <f t="shared" si="109"/>
        <v>216</v>
      </c>
      <c r="M117" s="184">
        <f t="shared" si="109"/>
        <v>216</v>
      </c>
      <c r="N117" s="184">
        <f t="shared" si="109"/>
        <v>216</v>
      </c>
      <c r="O117" s="184">
        <f t="shared" si="109"/>
        <v>216</v>
      </c>
      <c r="P117" s="184">
        <f t="shared" si="109"/>
        <v>216</v>
      </c>
      <c r="Q117" s="184">
        <f t="shared" si="109"/>
        <v>216</v>
      </c>
      <c r="R117" s="184">
        <f t="shared" si="109"/>
        <v>216</v>
      </c>
      <c r="S117" s="184">
        <f t="shared" si="109"/>
        <v>216</v>
      </c>
      <c r="T117" s="184">
        <f t="shared" si="109"/>
        <v>216</v>
      </c>
      <c r="U117" s="184">
        <f t="shared" si="109"/>
        <v>216</v>
      </c>
      <c r="V117" s="184">
        <f t="shared" si="109"/>
        <v>216</v>
      </c>
      <c r="W117" s="184">
        <f t="shared" si="109"/>
        <v>216</v>
      </c>
      <c r="X117" s="184">
        <f t="shared" si="109"/>
        <v>216</v>
      </c>
      <c r="Y117" s="184">
        <f t="shared" si="109"/>
        <v>216</v>
      </c>
      <c r="Z117" s="184">
        <f t="shared" si="109"/>
        <v>216</v>
      </c>
      <c r="AA117" s="184">
        <f t="shared" si="109"/>
        <v>216</v>
      </c>
      <c r="AB117" s="184">
        <f t="shared" si="109"/>
        <v>216</v>
      </c>
      <c r="AC117" s="184">
        <f t="shared" si="109"/>
        <v>216</v>
      </c>
      <c r="AD117" s="184">
        <f t="shared" si="109"/>
        <v>216</v>
      </c>
      <c r="AE117" s="184">
        <f t="shared" si="109"/>
        <v>216</v>
      </c>
      <c r="AF117" s="184">
        <f t="shared" si="109"/>
        <v>216</v>
      </c>
      <c r="AG117" s="184">
        <f t="shared" si="109"/>
        <v>216</v>
      </c>
      <c r="AH117" s="184">
        <f t="shared" si="109"/>
        <v>216</v>
      </c>
      <c r="AI117" s="184">
        <f t="shared" si="109"/>
        <v>216</v>
      </c>
      <c r="AJ117" s="184">
        <f t="shared" si="109"/>
        <v>216</v>
      </c>
      <c r="AK117" s="184">
        <f t="shared" si="109"/>
        <v>216</v>
      </c>
      <c r="AL117" s="184">
        <f t="shared" si="109"/>
        <v>216</v>
      </c>
      <c r="AM117" s="184">
        <f t="shared" si="109"/>
        <v>216</v>
      </c>
      <c r="AN117" s="184">
        <f t="shared" si="109"/>
        <v>216</v>
      </c>
      <c r="AO117" s="184">
        <f t="shared" si="109"/>
        <v>216</v>
      </c>
      <c r="AP117" s="184">
        <f t="shared" si="109"/>
        <v>216</v>
      </c>
      <c r="AQ117" s="184">
        <f t="shared" si="109"/>
        <v>216</v>
      </c>
      <c r="AR117" s="184">
        <f t="shared" si="109"/>
        <v>216</v>
      </c>
      <c r="AS117" s="184">
        <f t="shared" si="109"/>
        <v>216</v>
      </c>
      <c r="AT117" s="184">
        <f t="shared" si="109"/>
        <v>216</v>
      </c>
      <c r="AU117" s="184">
        <f t="shared" si="109"/>
        <v>216</v>
      </c>
      <c r="AV117" s="184">
        <f t="shared" si="109"/>
        <v>216</v>
      </c>
      <c r="AW117" s="184">
        <f t="shared" si="109"/>
        <v>216</v>
      </c>
      <c r="AX117" s="184">
        <f t="shared" si="109"/>
        <v>216</v>
      </c>
      <c r="AY117" s="184">
        <f t="shared" si="109"/>
        <v>216</v>
      </c>
      <c r="AZ117" s="184">
        <f t="shared" si="109"/>
        <v>216</v>
      </c>
      <c r="BA117" s="184">
        <f t="shared" si="109"/>
        <v>216</v>
      </c>
      <c r="BB117" s="184">
        <f t="shared" si="109"/>
        <v>216</v>
      </c>
      <c r="BC117" s="184">
        <f t="shared" si="109"/>
        <v>216</v>
      </c>
      <c r="BD117" s="184">
        <f t="shared" si="109"/>
        <v>216</v>
      </c>
      <c r="BE117" s="184">
        <f t="shared" si="109"/>
        <v>216</v>
      </c>
      <c r="BF117" s="184">
        <f t="shared" si="109"/>
        <v>216</v>
      </c>
      <c r="BG117" s="184">
        <f t="shared" si="109"/>
        <v>216</v>
      </c>
      <c r="BH117" s="184">
        <f t="shared" si="109"/>
        <v>216</v>
      </c>
      <c r="BI117" s="184">
        <f t="shared" si="109"/>
        <v>216</v>
      </c>
      <c r="BJ117" s="184">
        <f t="shared" si="109"/>
        <v>216</v>
      </c>
      <c r="BK117" s="184">
        <f t="shared" si="109"/>
        <v>216</v>
      </c>
      <c r="BL117" s="184">
        <f t="shared" si="109"/>
        <v>216</v>
      </c>
      <c r="BM117" s="184">
        <f t="shared" si="109"/>
        <v>216</v>
      </c>
      <c r="BN117" s="184">
        <f t="shared" si="109"/>
        <v>216</v>
      </c>
      <c r="BO117" s="184">
        <f t="shared" si="109"/>
        <v>216</v>
      </c>
      <c r="BP117" s="184">
        <f t="shared" si="109"/>
        <v>216</v>
      </c>
      <c r="BQ117" s="184">
        <f t="shared" ref="BQ117:DT117" si="110">BQ113*9%</f>
        <v>216</v>
      </c>
      <c r="BR117" s="184">
        <f t="shared" si="110"/>
        <v>216</v>
      </c>
      <c r="BS117" s="184">
        <f t="shared" si="110"/>
        <v>216</v>
      </c>
      <c r="BT117" s="184">
        <f t="shared" si="110"/>
        <v>216</v>
      </c>
      <c r="BU117" s="184">
        <f t="shared" si="110"/>
        <v>216</v>
      </c>
      <c r="BV117" s="184">
        <f t="shared" si="110"/>
        <v>216</v>
      </c>
      <c r="BW117" s="184">
        <f t="shared" si="110"/>
        <v>216</v>
      </c>
      <c r="BX117" s="184">
        <f t="shared" si="110"/>
        <v>216</v>
      </c>
      <c r="BY117" s="184">
        <f t="shared" si="110"/>
        <v>216</v>
      </c>
      <c r="BZ117" s="184">
        <f t="shared" si="110"/>
        <v>216</v>
      </c>
      <c r="CA117" s="184">
        <f t="shared" si="110"/>
        <v>216</v>
      </c>
      <c r="CB117" s="184">
        <f t="shared" si="110"/>
        <v>216</v>
      </c>
      <c r="CC117" s="184">
        <f t="shared" si="110"/>
        <v>216</v>
      </c>
      <c r="CD117" s="184">
        <f t="shared" si="110"/>
        <v>216</v>
      </c>
      <c r="CE117" s="184">
        <f t="shared" si="110"/>
        <v>216</v>
      </c>
      <c r="CF117" s="184">
        <f t="shared" si="110"/>
        <v>216</v>
      </c>
      <c r="CG117" s="184">
        <f t="shared" si="110"/>
        <v>216</v>
      </c>
      <c r="CH117" s="184">
        <f t="shared" si="110"/>
        <v>216</v>
      </c>
      <c r="CI117" s="184">
        <f t="shared" si="110"/>
        <v>216</v>
      </c>
      <c r="CJ117" s="184">
        <f t="shared" si="110"/>
        <v>216</v>
      </c>
      <c r="CK117" s="184">
        <f t="shared" si="110"/>
        <v>216</v>
      </c>
      <c r="CL117" s="184">
        <f t="shared" si="110"/>
        <v>216</v>
      </c>
      <c r="CM117" s="184">
        <f t="shared" si="110"/>
        <v>216</v>
      </c>
      <c r="CN117" s="184">
        <f t="shared" si="110"/>
        <v>216</v>
      </c>
      <c r="CO117" s="184">
        <f t="shared" si="110"/>
        <v>216</v>
      </c>
      <c r="CP117" s="184">
        <f t="shared" si="110"/>
        <v>216</v>
      </c>
      <c r="CQ117" s="184">
        <f t="shared" si="110"/>
        <v>216</v>
      </c>
      <c r="CR117" s="184">
        <f t="shared" si="110"/>
        <v>216</v>
      </c>
      <c r="CS117" s="184">
        <f t="shared" si="110"/>
        <v>216</v>
      </c>
      <c r="CT117" s="184">
        <f t="shared" si="110"/>
        <v>216</v>
      </c>
      <c r="CU117" s="184">
        <f t="shared" si="110"/>
        <v>216</v>
      </c>
      <c r="CV117" s="184">
        <f t="shared" si="110"/>
        <v>216</v>
      </c>
      <c r="CW117" s="184">
        <f t="shared" si="110"/>
        <v>216</v>
      </c>
      <c r="CX117" s="184">
        <f t="shared" si="110"/>
        <v>216</v>
      </c>
      <c r="CY117" s="184">
        <f t="shared" si="110"/>
        <v>216</v>
      </c>
      <c r="CZ117" s="184">
        <f t="shared" si="110"/>
        <v>216</v>
      </c>
      <c r="DA117" s="184">
        <f t="shared" si="110"/>
        <v>216</v>
      </c>
      <c r="DB117" s="184">
        <f t="shared" si="110"/>
        <v>216</v>
      </c>
      <c r="DC117" s="184">
        <f t="shared" si="110"/>
        <v>216</v>
      </c>
      <c r="DD117" s="184">
        <f t="shared" si="110"/>
        <v>216</v>
      </c>
      <c r="DE117" s="184">
        <f t="shared" si="110"/>
        <v>216</v>
      </c>
      <c r="DF117" s="184">
        <f t="shared" si="110"/>
        <v>216</v>
      </c>
      <c r="DG117" s="184">
        <f t="shared" si="110"/>
        <v>216</v>
      </c>
      <c r="DH117" s="184">
        <f t="shared" si="110"/>
        <v>216</v>
      </c>
      <c r="DI117" s="184">
        <f t="shared" si="110"/>
        <v>216</v>
      </c>
      <c r="DJ117" s="184">
        <f t="shared" si="110"/>
        <v>216</v>
      </c>
      <c r="DK117" s="184">
        <f t="shared" si="110"/>
        <v>216</v>
      </c>
      <c r="DL117" s="184">
        <f t="shared" si="110"/>
        <v>216</v>
      </c>
      <c r="DM117" s="184">
        <f t="shared" si="110"/>
        <v>216</v>
      </c>
      <c r="DN117" s="184">
        <f t="shared" si="110"/>
        <v>216</v>
      </c>
      <c r="DO117" s="184">
        <f t="shared" si="110"/>
        <v>216</v>
      </c>
      <c r="DP117" s="184">
        <f t="shared" si="110"/>
        <v>216</v>
      </c>
      <c r="DQ117" s="184">
        <f t="shared" si="110"/>
        <v>216</v>
      </c>
      <c r="DR117" s="184">
        <f t="shared" si="110"/>
        <v>216</v>
      </c>
      <c r="DS117" s="184">
        <f t="shared" si="110"/>
        <v>216</v>
      </c>
      <c r="DT117" s="184">
        <f t="shared" si="110"/>
        <v>216</v>
      </c>
    </row>
    <row r="118" spans="1:124" x14ac:dyDescent="0.25">
      <c r="B118" s="829"/>
      <c r="C118" s="827"/>
      <c r="D118" s="481" t="s">
        <v>273</v>
      </c>
      <c r="E118" s="454">
        <f t="shared" ref="E118:AB118" si="111">SUM(E113:E117)</f>
        <v>2616</v>
      </c>
      <c r="F118" s="454">
        <f t="shared" si="111"/>
        <v>2616</v>
      </c>
      <c r="G118" s="454">
        <f t="shared" si="111"/>
        <v>2616</v>
      </c>
      <c r="H118" s="454">
        <f t="shared" si="111"/>
        <v>2616</v>
      </c>
      <c r="I118" s="454">
        <f t="shared" si="111"/>
        <v>3316</v>
      </c>
      <c r="J118" s="454">
        <f t="shared" si="111"/>
        <v>2616</v>
      </c>
      <c r="K118" s="454">
        <f t="shared" si="111"/>
        <v>3816</v>
      </c>
      <c r="L118" s="454">
        <f t="shared" si="111"/>
        <v>2616</v>
      </c>
      <c r="M118" s="454">
        <f t="shared" si="111"/>
        <v>2616</v>
      </c>
      <c r="N118" s="454">
        <f t="shared" si="111"/>
        <v>2616</v>
      </c>
      <c r="O118" s="454">
        <f t="shared" si="111"/>
        <v>3316</v>
      </c>
      <c r="P118" s="454">
        <f t="shared" si="111"/>
        <v>3816</v>
      </c>
      <c r="Q118" s="454">
        <f t="shared" si="111"/>
        <v>3816</v>
      </c>
      <c r="R118" s="454">
        <f t="shared" si="111"/>
        <v>2616</v>
      </c>
      <c r="S118" s="454">
        <f t="shared" si="111"/>
        <v>2616</v>
      </c>
      <c r="T118" s="454">
        <f t="shared" si="111"/>
        <v>2616</v>
      </c>
      <c r="U118" s="454">
        <f t="shared" si="111"/>
        <v>4016</v>
      </c>
      <c r="V118" s="454">
        <f t="shared" si="111"/>
        <v>2616</v>
      </c>
      <c r="W118" s="454">
        <f t="shared" si="111"/>
        <v>5016</v>
      </c>
      <c r="X118" s="454">
        <f t="shared" si="111"/>
        <v>2616</v>
      </c>
      <c r="Y118" s="454">
        <f t="shared" si="111"/>
        <v>2616</v>
      </c>
      <c r="Z118" s="454">
        <f t="shared" si="111"/>
        <v>2616</v>
      </c>
      <c r="AA118" s="454">
        <f t="shared" si="111"/>
        <v>4016</v>
      </c>
      <c r="AB118" s="454">
        <f t="shared" si="111"/>
        <v>5016</v>
      </c>
      <c r="AC118" s="454">
        <f t="shared" ref="AC118:CN118" si="112">SUM(AC113:AC117)</f>
        <v>3816</v>
      </c>
      <c r="AD118" s="454">
        <f t="shared" si="112"/>
        <v>2616</v>
      </c>
      <c r="AE118" s="454">
        <f t="shared" si="112"/>
        <v>2616</v>
      </c>
      <c r="AF118" s="454">
        <f t="shared" si="112"/>
        <v>2616</v>
      </c>
      <c r="AG118" s="454">
        <f t="shared" si="112"/>
        <v>4016</v>
      </c>
      <c r="AH118" s="454">
        <f t="shared" si="112"/>
        <v>2616</v>
      </c>
      <c r="AI118" s="454">
        <f t="shared" si="112"/>
        <v>5016</v>
      </c>
      <c r="AJ118" s="454">
        <f t="shared" si="112"/>
        <v>2616</v>
      </c>
      <c r="AK118" s="454">
        <f t="shared" si="112"/>
        <v>2616</v>
      </c>
      <c r="AL118" s="454">
        <f t="shared" si="112"/>
        <v>2616</v>
      </c>
      <c r="AM118" s="454">
        <f t="shared" si="112"/>
        <v>4016</v>
      </c>
      <c r="AN118" s="454">
        <f t="shared" si="112"/>
        <v>5016</v>
      </c>
      <c r="AO118" s="454">
        <f t="shared" si="112"/>
        <v>3816</v>
      </c>
      <c r="AP118" s="454">
        <f t="shared" si="112"/>
        <v>2616</v>
      </c>
      <c r="AQ118" s="454">
        <f t="shared" si="112"/>
        <v>2616</v>
      </c>
      <c r="AR118" s="454">
        <f t="shared" si="112"/>
        <v>2616</v>
      </c>
      <c r="AS118" s="454">
        <f t="shared" si="112"/>
        <v>4016</v>
      </c>
      <c r="AT118" s="454">
        <f t="shared" si="112"/>
        <v>2616</v>
      </c>
      <c r="AU118" s="454">
        <f t="shared" si="112"/>
        <v>5016</v>
      </c>
      <c r="AV118" s="454">
        <f t="shared" si="112"/>
        <v>2616</v>
      </c>
      <c r="AW118" s="454">
        <f t="shared" si="112"/>
        <v>2616</v>
      </c>
      <c r="AX118" s="454">
        <f t="shared" si="112"/>
        <v>2616</v>
      </c>
      <c r="AY118" s="454">
        <f t="shared" si="112"/>
        <v>4016</v>
      </c>
      <c r="AZ118" s="454">
        <f t="shared" si="112"/>
        <v>5016</v>
      </c>
      <c r="BA118" s="454">
        <f t="shared" si="112"/>
        <v>3816</v>
      </c>
      <c r="BB118" s="454">
        <f t="shared" si="112"/>
        <v>2616</v>
      </c>
      <c r="BC118" s="454">
        <f t="shared" si="112"/>
        <v>2616</v>
      </c>
      <c r="BD118" s="454">
        <f t="shared" si="112"/>
        <v>2616</v>
      </c>
      <c r="BE118" s="454">
        <f t="shared" si="112"/>
        <v>4016</v>
      </c>
      <c r="BF118" s="454">
        <f t="shared" si="112"/>
        <v>2616</v>
      </c>
      <c r="BG118" s="454">
        <f t="shared" si="112"/>
        <v>5016</v>
      </c>
      <c r="BH118" s="454">
        <f t="shared" si="112"/>
        <v>2616</v>
      </c>
      <c r="BI118" s="454">
        <f t="shared" si="112"/>
        <v>2616</v>
      </c>
      <c r="BJ118" s="454">
        <f t="shared" si="112"/>
        <v>2616</v>
      </c>
      <c r="BK118" s="454">
        <f t="shared" si="112"/>
        <v>4016</v>
      </c>
      <c r="BL118" s="454">
        <f t="shared" si="112"/>
        <v>5016</v>
      </c>
      <c r="BM118" s="454">
        <f t="shared" si="112"/>
        <v>3816</v>
      </c>
      <c r="BN118" s="454">
        <f t="shared" si="112"/>
        <v>2616</v>
      </c>
      <c r="BO118" s="454">
        <f t="shared" si="112"/>
        <v>2616</v>
      </c>
      <c r="BP118" s="454">
        <f t="shared" si="112"/>
        <v>2616</v>
      </c>
      <c r="BQ118" s="454">
        <f t="shared" si="112"/>
        <v>4016</v>
      </c>
      <c r="BR118" s="454">
        <f t="shared" si="112"/>
        <v>2616</v>
      </c>
      <c r="BS118" s="454">
        <f t="shared" si="112"/>
        <v>5016</v>
      </c>
      <c r="BT118" s="454">
        <f t="shared" si="112"/>
        <v>2616</v>
      </c>
      <c r="BU118" s="454">
        <f t="shared" si="112"/>
        <v>2616</v>
      </c>
      <c r="BV118" s="454">
        <f t="shared" si="112"/>
        <v>2616</v>
      </c>
      <c r="BW118" s="454">
        <f t="shared" si="112"/>
        <v>4016</v>
      </c>
      <c r="BX118" s="454">
        <f t="shared" si="112"/>
        <v>5016</v>
      </c>
      <c r="BY118" s="454">
        <f t="shared" si="112"/>
        <v>3816</v>
      </c>
      <c r="BZ118" s="454">
        <f t="shared" si="112"/>
        <v>2616</v>
      </c>
      <c r="CA118" s="454">
        <f t="shared" si="112"/>
        <v>2616</v>
      </c>
      <c r="CB118" s="454">
        <f t="shared" si="112"/>
        <v>2616</v>
      </c>
      <c r="CC118" s="454">
        <f t="shared" si="112"/>
        <v>4016</v>
      </c>
      <c r="CD118" s="454">
        <f t="shared" si="112"/>
        <v>2616</v>
      </c>
      <c r="CE118" s="454">
        <f t="shared" si="112"/>
        <v>5016</v>
      </c>
      <c r="CF118" s="454">
        <f t="shared" si="112"/>
        <v>2616</v>
      </c>
      <c r="CG118" s="454">
        <f t="shared" si="112"/>
        <v>2616</v>
      </c>
      <c r="CH118" s="454">
        <f t="shared" si="112"/>
        <v>2616</v>
      </c>
      <c r="CI118" s="454">
        <f t="shared" si="112"/>
        <v>4016</v>
      </c>
      <c r="CJ118" s="454">
        <f t="shared" si="112"/>
        <v>5016</v>
      </c>
      <c r="CK118" s="454">
        <f t="shared" si="112"/>
        <v>3816</v>
      </c>
      <c r="CL118" s="454">
        <f t="shared" si="112"/>
        <v>2616</v>
      </c>
      <c r="CM118" s="454">
        <f t="shared" si="112"/>
        <v>2616</v>
      </c>
      <c r="CN118" s="454">
        <f t="shared" si="112"/>
        <v>2616</v>
      </c>
      <c r="CO118" s="454">
        <f t="shared" ref="CO118:DT118" si="113">SUM(CO113:CO117)</f>
        <v>4016</v>
      </c>
      <c r="CP118" s="454">
        <f t="shared" si="113"/>
        <v>2616</v>
      </c>
      <c r="CQ118" s="454">
        <f t="shared" si="113"/>
        <v>5016</v>
      </c>
      <c r="CR118" s="454">
        <f t="shared" si="113"/>
        <v>2616</v>
      </c>
      <c r="CS118" s="454">
        <f t="shared" si="113"/>
        <v>2616</v>
      </c>
      <c r="CT118" s="454">
        <f t="shared" si="113"/>
        <v>2616</v>
      </c>
      <c r="CU118" s="454">
        <f t="shared" si="113"/>
        <v>4016</v>
      </c>
      <c r="CV118" s="454">
        <f t="shared" si="113"/>
        <v>5016</v>
      </c>
      <c r="CW118" s="454">
        <f t="shared" si="113"/>
        <v>3816</v>
      </c>
      <c r="CX118" s="454">
        <f t="shared" si="113"/>
        <v>2616</v>
      </c>
      <c r="CY118" s="454">
        <f t="shared" si="113"/>
        <v>2616</v>
      </c>
      <c r="CZ118" s="454">
        <f t="shared" si="113"/>
        <v>2616</v>
      </c>
      <c r="DA118" s="454">
        <f t="shared" si="113"/>
        <v>4016</v>
      </c>
      <c r="DB118" s="454">
        <f t="shared" si="113"/>
        <v>2616</v>
      </c>
      <c r="DC118" s="454">
        <f t="shared" si="113"/>
        <v>5016</v>
      </c>
      <c r="DD118" s="454">
        <f t="shared" si="113"/>
        <v>2616</v>
      </c>
      <c r="DE118" s="454">
        <f t="shared" si="113"/>
        <v>2616</v>
      </c>
      <c r="DF118" s="454">
        <f t="shared" si="113"/>
        <v>2616</v>
      </c>
      <c r="DG118" s="454">
        <f t="shared" si="113"/>
        <v>4016</v>
      </c>
      <c r="DH118" s="454">
        <f t="shared" si="113"/>
        <v>5016</v>
      </c>
      <c r="DI118" s="454">
        <f t="shared" si="113"/>
        <v>3816</v>
      </c>
      <c r="DJ118" s="454">
        <f t="shared" si="113"/>
        <v>2616</v>
      </c>
      <c r="DK118" s="454">
        <f t="shared" si="113"/>
        <v>2616</v>
      </c>
      <c r="DL118" s="454">
        <f t="shared" si="113"/>
        <v>2616</v>
      </c>
      <c r="DM118" s="454">
        <f t="shared" si="113"/>
        <v>4016</v>
      </c>
      <c r="DN118" s="454">
        <f t="shared" si="113"/>
        <v>2616</v>
      </c>
      <c r="DO118" s="454">
        <f t="shared" si="113"/>
        <v>5016</v>
      </c>
      <c r="DP118" s="454">
        <f t="shared" si="113"/>
        <v>2616</v>
      </c>
      <c r="DQ118" s="454">
        <f t="shared" si="113"/>
        <v>2616</v>
      </c>
      <c r="DR118" s="454">
        <f t="shared" si="113"/>
        <v>2616</v>
      </c>
      <c r="DS118" s="454">
        <f t="shared" si="113"/>
        <v>4016</v>
      </c>
      <c r="DT118" s="454">
        <f t="shared" si="113"/>
        <v>5016</v>
      </c>
    </row>
    <row r="119" spans="1:124" x14ac:dyDescent="0.25">
      <c r="B119" s="834" t="s">
        <v>259</v>
      </c>
      <c r="C119" s="825" t="s">
        <v>269</v>
      </c>
      <c r="D119" s="438" t="s">
        <v>275</v>
      </c>
      <c r="E119" s="184">
        <f>F85</f>
        <v>1000</v>
      </c>
      <c r="F119" s="184">
        <f t="shared" ref="F119:AB119" si="114">E119</f>
        <v>1000</v>
      </c>
      <c r="G119" s="184">
        <f t="shared" si="114"/>
        <v>1000</v>
      </c>
      <c r="H119" s="184">
        <f t="shared" si="114"/>
        <v>1000</v>
      </c>
      <c r="I119" s="184">
        <f t="shared" si="114"/>
        <v>1000</v>
      </c>
      <c r="J119" s="184">
        <f t="shared" si="114"/>
        <v>1000</v>
      </c>
      <c r="K119" s="184">
        <f t="shared" si="114"/>
        <v>1000</v>
      </c>
      <c r="L119" s="184">
        <f t="shared" si="114"/>
        <v>1000</v>
      </c>
      <c r="M119" s="184">
        <f t="shared" si="114"/>
        <v>1000</v>
      </c>
      <c r="N119" s="184">
        <f t="shared" si="114"/>
        <v>1000</v>
      </c>
      <c r="O119" s="184">
        <f t="shared" si="114"/>
        <v>1000</v>
      </c>
      <c r="P119" s="184">
        <f t="shared" si="114"/>
        <v>1000</v>
      </c>
      <c r="Q119" s="184">
        <f>U85</f>
        <v>1000</v>
      </c>
      <c r="R119" s="184">
        <f t="shared" si="114"/>
        <v>1000</v>
      </c>
      <c r="S119" s="184">
        <f t="shared" si="114"/>
        <v>1000</v>
      </c>
      <c r="T119" s="184">
        <f t="shared" si="114"/>
        <v>1000</v>
      </c>
      <c r="U119" s="184">
        <f t="shared" si="114"/>
        <v>1000</v>
      </c>
      <c r="V119" s="184">
        <f t="shared" si="114"/>
        <v>1000</v>
      </c>
      <c r="W119" s="184">
        <f t="shared" si="114"/>
        <v>1000</v>
      </c>
      <c r="X119" s="184">
        <f t="shared" si="114"/>
        <v>1000</v>
      </c>
      <c r="Y119" s="184">
        <f t="shared" si="114"/>
        <v>1000</v>
      </c>
      <c r="Z119" s="184">
        <f t="shared" si="114"/>
        <v>1000</v>
      </c>
      <c r="AA119" s="184">
        <f t="shared" si="114"/>
        <v>1000</v>
      </c>
      <c r="AB119" s="184">
        <f t="shared" si="114"/>
        <v>1000</v>
      </c>
      <c r="AC119" s="184">
        <f>AG85</f>
        <v>1000</v>
      </c>
      <c r="AD119" s="184">
        <f t="shared" ref="AD119:AN119" si="115">AC119</f>
        <v>1000</v>
      </c>
      <c r="AE119" s="184">
        <f t="shared" si="115"/>
        <v>1000</v>
      </c>
      <c r="AF119" s="184">
        <f t="shared" si="115"/>
        <v>1000</v>
      </c>
      <c r="AG119" s="184">
        <f t="shared" si="115"/>
        <v>1000</v>
      </c>
      <c r="AH119" s="184">
        <f t="shared" si="115"/>
        <v>1000</v>
      </c>
      <c r="AI119" s="184">
        <f t="shared" si="115"/>
        <v>1000</v>
      </c>
      <c r="AJ119" s="184">
        <f t="shared" si="115"/>
        <v>1000</v>
      </c>
      <c r="AK119" s="184">
        <f t="shared" si="115"/>
        <v>1000</v>
      </c>
      <c r="AL119" s="184">
        <f t="shared" si="115"/>
        <v>1000</v>
      </c>
      <c r="AM119" s="184">
        <f t="shared" si="115"/>
        <v>1000</v>
      </c>
      <c r="AN119" s="184">
        <f t="shared" si="115"/>
        <v>1000</v>
      </c>
      <c r="AO119" s="184">
        <f>AS85</f>
        <v>1000</v>
      </c>
      <c r="AP119" s="184">
        <f t="shared" ref="AP119:AZ119" si="116">AO119</f>
        <v>1000</v>
      </c>
      <c r="AQ119" s="184">
        <f t="shared" si="116"/>
        <v>1000</v>
      </c>
      <c r="AR119" s="184">
        <f t="shared" si="116"/>
        <v>1000</v>
      </c>
      <c r="AS119" s="184">
        <f t="shared" si="116"/>
        <v>1000</v>
      </c>
      <c r="AT119" s="184">
        <f t="shared" si="116"/>
        <v>1000</v>
      </c>
      <c r="AU119" s="184">
        <f t="shared" si="116"/>
        <v>1000</v>
      </c>
      <c r="AV119" s="184">
        <f t="shared" si="116"/>
        <v>1000</v>
      </c>
      <c r="AW119" s="184">
        <f t="shared" si="116"/>
        <v>1000</v>
      </c>
      <c r="AX119" s="184">
        <f t="shared" si="116"/>
        <v>1000</v>
      </c>
      <c r="AY119" s="184">
        <f t="shared" si="116"/>
        <v>1000</v>
      </c>
      <c r="AZ119" s="184">
        <f t="shared" si="116"/>
        <v>1000</v>
      </c>
      <c r="BA119" s="184">
        <f>BE85</f>
        <v>1000</v>
      </c>
      <c r="BB119" s="184">
        <f t="shared" ref="BB119:BL119" si="117">BA119</f>
        <v>1000</v>
      </c>
      <c r="BC119" s="184">
        <f t="shared" si="117"/>
        <v>1000</v>
      </c>
      <c r="BD119" s="184">
        <f t="shared" si="117"/>
        <v>1000</v>
      </c>
      <c r="BE119" s="184">
        <f t="shared" si="117"/>
        <v>1000</v>
      </c>
      <c r="BF119" s="184">
        <f t="shared" si="117"/>
        <v>1000</v>
      </c>
      <c r="BG119" s="184">
        <f t="shared" si="117"/>
        <v>1000</v>
      </c>
      <c r="BH119" s="184">
        <f t="shared" si="117"/>
        <v>1000</v>
      </c>
      <c r="BI119" s="184">
        <f t="shared" si="117"/>
        <v>1000</v>
      </c>
      <c r="BJ119" s="184">
        <f t="shared" si="117"/>
        <v>1000</v>
      </c>
      <c r="BK119" s="184">
        <f t="shared" si="117"/>
        <v>1000</v>
      </c>
      <c r="BL119" s="184">
        <f t="shared" si="117"/>
        <v>1000</v>
      </c>
      <c r="BM119" s="184">
        <f>BQ85</f>
        <v>1000</v>
      </c>
      <c r="BN119" s="184">
        <f t="shared" ref="BN119:BX119" si="118">BM119</f>
        <v>1000</v>
      </c>
      <c r="BO119" s="184">
        <f t="shared" si="118"/>
        <v>1000</v>
      </c>
      <c r="BP119" s="184">
        <f t="shared" si="118"/>
        <v>1000</v>
      </c>
      <c r="BQ119" s="184">
        <f t="shared" si="118"/>
        <v>1000</v>
      </c>
      <c r="BR119" s="184">
        <f t="shared" si="118"/>
        <v>1000</v>
      </c>
      <c r="BS119" s="184">
        <f t="shared" si="118"/>
        <v>1000</v>
      </c>
      <c r="BT119" s="184">
        <f t="shared" si="118"/>
        <v>1000</v>
      </c>
      <c r="BU119" s="184">
        <f t="shared" si="118"/>
        <v>1000</v>
      </c>
      <c r="BV119" s="184">
        <f t="shared" si="118"/>
        <v>1000</v>
      </c>
      <c r="BW119" s="184">
        <f t="shared" si="118"/>
        <v>1000</v>
      </c>
      <c r="BX119" s="184">
        <f t="shared" si="118"/>
        <v>1000</v>
      </c>
      <c r="BY119" s="184">
        <f>CC85</f>
        <v>1000</v>
      </c>
      <c r="BZ119" s="184">
        <f t="shared" ref="BZ119:CJ119" si="119">BY119</f>
        <v>1000</v>
      </c>
      <c r="CA119" s="184">
        <f t="shared" si="119"/>
        <v>1000</v>
      </c>
      <c r="CB119" s="184">
        <f t="shared" si="119"/>
        <v>1000</v>
      </c>
      <c r="CC119" s="184">
        <f t="shared" si="119"/>
        <v>1000</v>
      </c>
      <c r="CD119" s="184">
        <f t="shared" si="119"/>
        <v>1000</v>
      </c>
      <c r="CE119" s="184">
        <f t="shared" si="119"/>
        <v>1000</v>
      </c>
      <c r="CF119" s="184">
        <f t="shared" si="119"/>
        <v>1000</v>
      </c>
      <c r="CG119" s="184">
        <f t="shared" si="119"/>
        <v>1000</v>
      </c>
      <c r="CH119" s="184">
        <f t="shared" si="119"/>
        <v>1000</v>
      </c>
      <c r="CI119" s="184">
        <f t="shared" si="119"/>
        <v>1000</v>
      </c>
      <c r="CJ119" s="184">
        <f t="shared" si="119"/>
        <v>1000</v>
      </c>
      <c r="CK119" s="184">
        <f>CO85</f>
        <v>1000</v>
      </c>
      <c r="CL119" s="184">
        <f t="shared" ref="CL119:CV119" si="120">CK119</f>
        <v>1000</v>
      </c>
      <c r="CM119" s="184">
        <f t="shared" si="120"/>
        <v>1000</v>
      </c>
      <c r="CN119" s="184">
        <f t="shared" si="120"/>
        <v>1000</v>
      </c>
      <c r="CO119" s="184">
        <f t="shared" si="120"/>
        <v>1000</v>
      </c>
      <c r="CP119" s="184">
        <f t="shared" si="120"/>
        <v>1000</v>
      </c>
      <c r="CQ119" s="184">
        <f t="shared" si="120"/>
        <v>1000</v>
      </c>
      <c r="CR119" s="184">
        <f t="shared" si="120"/>
        <v>1000</v>
      </c>
      <c r="CS119" s="184">
        <f t="shared" si="120"/>
        <v>1000</v>
      </c>
      <c r="CT119" s="184">
        <f t="shared" si="120"/>
        <v>1000</v>
      </c>
      <c r="CU119" s="184">
        <f t="shared" si="120"/>
        <v>1000</v>
      </c>
      <c r="CV119" s="184">
        <f t="shared" si="120"/>
        <v>1000</v>
      </c>
      <c r="CW119" s="184">
        <f>DA85</f>
        <v>1000</v>
      </c>
      <c r="CX119" s="184">
        <f t="shared" ref="CX119:DH119" si="121">CW119</f>
        <v>1000</v>
      </c>
      <c r="CY119" s="184">
        <f t="shared" si="121"/>
        <v>1000</v>
      </c>
      <c r="CZ119" s="184">
        <f t="shared" si="121"/>
        <v>1000</v>
      </c>
      <c r="DA119" s="184">
        <f t="shared" si="121"/>
        <v>1000</v>
      </c>
      <c r="DB119" s="184">
        <f t="shared" si="121"/>
        <v>1000</v>
      </c>
      <c r="DC119" s="184">
        <f t="shared" si="121"/>
        <v>1000</v>
      </c>
      <c r="DD119" s="184">
        <f t="shared" si="121"/>
        <v>1000</v>
      </c>
      <c r="DE119" s="184">
        <f t="shared" si="121"/>
        <v>1000</v>
      </c>
      <c r="DF119" s="184">
        <f t="shared" si="121"/>
        <v>1000</v>
      </c>
      <c r="DG119" s="184">
        <f t="shared" si="121"/>
        <v>1000</v>
      </c>
      <c r="DH119" s="184">
        <f t="shared" si="121"/>
        <v>1000</v>
      </c>
      <c r="DI119" s="184">
        <f>DM85</f>
        <v>1000</v>
      </c>
      <c r="DJ119" s="184">
        <f t="shared" ref="DJ119:DT119" si="122">DI119</f>
        <v>1000</v>
      </c>
      <c r="DK119" s="184">
        <f t="shared" si="122"/>
        <v>1000</v>
      </c>
      <c r="DL119" s="184">
        <f t="shared" si="122"/>
        <v>1000</v>
      </c>
      <c r="DM119" s="184">
        <f t="shared" si="122"/>
        <v>1000</v>
      </c>
      <c r="DN119" s="184">
        <f t="shared" si="122"/>
        <v>1000</v>
      </c>
      <c r="DO119" s="184">
        <f t="shared" si="122"/>
        <v>1000</v>
      </c>
      <c r="DP119" s="184">
        <f t="shared" si="122"/>
        <v>1000</v>
      </c>
      <c r="DQ119" s="184">
        <f t="shared" si="122"/>
        <v>1000</v>
      </c>
      <c r="DR119" s="184">
        <f t="shared" si="122"/>
        <v>1000</v>
      </c>
      <c r="DS119" s="184">
        <f t="shared" si="122"/>
        <v>1000</v>
      </c>
      <c r="DT119" s="184">
        <f t="shared" si="122"/>
        <v>1000</v>
      </c>
    </row>
    <row r="120" spans="1:124" x14ac:dyDescent="0.25">
      <c r="B120" s="832"/>
      <c r="C120" s="826"/>
      <c r="D120" s="482" t="s">
        <v>4</v>
      </c>
      <c r="E120" s="184">
        <f>'COSTO VARIABLE'!E9*0.7</f>
        <v>938.33107399321796</v>
      </c>
      <c r="F120" s="184">
        <f>'COSTO VARIABLE'!F9*0.7</f>
        <v>1140.3198753228087</v>
      </c>
      <c r="G120" s="184">
        <f>'COSTO VARIABLE'!G9*0.7</f>
        <v>1320.6418953891075</v>
      </c>
      <c r="H120" s="184">
        <f>'COSTO VARIABLE'!H9*0.7</f>
        <v>1044.9333191036237</v>
      </c>
      <c r="I120" s="184">
        <f>'COSTO VARIABLE'!I9*0.7</f>
        <v>1071.5623901053941</v>
      </c>
      <c r="J120" s="184">
        <f>'COSTO VARIABLE'!J9*0.7</f>
        <v>1367.9988118232006</v>
      </c>
      <c r="K120" s="184">
        <f>'COSTO VARIABLE'!K9*0.7</f>
        <v>1446.4686903432107</v>
      </c>
      <c r="L120" s="184">
        <f>'COSTO VARIABLE'!L9*0.7</f>
        <v>1534.6951664448275</v>
      </c>
      <c r="M120" s="184">
        <f>'COSTO VARIABLE'!M9*0.7</f>
        <v>1577.3362902689062</v>
      </c>
      <c r="N120" s="184">
        <f>'COSTO VARIABLE'!N9*0.7</f>
        <v>1499.7021013476524</v>
      </c>
      <c r="O120" s="184">
        <f>'COSTO VARIABLE'!O9*0.7</f>
        <v>1451.3042082211455</v>
      </c>
      <c r="P120" s="184">
        <f>'COSTO VARIABLE'!P9*0.7</f>
        <v>1309.195419028372</v>
      </c>
      <c r="Q120" s="184">
        <f>'COSTO VARIABLE'!Q9*0.7</f>
        <v>1852.1215191881108</v>
      </c>
      <c r="R120" s="184">
        <f>'COSTO VARIABLE'!R9*0.7</f>
        <v>1677.7082449526988</v>
      </c>
      <c r="S120" s="184">
        <f>'COSTO VARIABLE'!S9*0.7</f>
        <v>1355.8094030710545</v>
      </c>
      <c r="T120" s="184">
        <f>'COSTO VARIABLE'!T9*0.7</f>
        <v>1120.1302477634024</v>
      </c>
      <c r="U120" s="184">
        <f>'COSTO VARIABLE'!U9*0.7</f>
        <v>1098.179905171314</v>
      </c>
      <c r="V120" s="184">
        <f>'COSTO VARIABLE'!V9*0.7</f>
        <v>1304.0627571195082</v>
      </c>
      <c r="W120" s="184">
        <f>'COSTO VARIABLE'!W9*0.7</f>
        <v>1482.4647319888024</v>
      </c>
      <c r="X120" s="184">
        <f>'COSTO VARIABLE'!X9*0.7</f>
        <v>1540.1348327892617</v>
      </c>
      <c r="Y120" s="184">
        <f>'COSTO VARIABLE'!Y9*0.7</f>
        <v>1647.8152953682677</v>
      </c>
      <c r="Z120" s="184">
        <f>'COSTO VARIABLE'!Z9*0.7</f>
        <v>1543.7626183400571</v>
      </c>
      <c r="AA120" s="184">
        <f>'COSTO VARIABLE'!AA9*0.7</f>
        <v>1377.7028705108328</v>
      </c>
      <c r="AB120" s="184">
        <f>'COSTO VARIABLE'!AB9*0.7</f>
        <v>1327.9864810158101</v>
      </c>
      <c r="AC120" s="184">
        <f>'COSTO VARIABLE'!AC9*0.7</f>
        <v>1974.6743137666115</v>
      </c>
      <c r="AD120" s="184">
        <f>'COSTO VARIABLE'!AD9*0.7</f>
        <v>1773.6252840454217</v>
      </c>
      <c r="AE120" s="184">
        <f>'COSTO VARIABLE'!AE9*0.7</f>
        <v>1441.5017246816744</v>
      </c>
      <c r="AF120" s="184">
        <f>'COSTO VARIABLE'!AF9*0.7</f>
        <v>1198.5393651068407</v>
      </c>
      <c r="AG120" s="184">
        <f>'COSTO VARIABLE'!AG9*0.7</f>
        <v>1175.0524985333061</v>
      </c>
      <c r="AH120" s="184">
        <f>'COSTO VARIABLE'!AH9*0.7</f>
        <v>1395.3471501178738</v>
      </c>
      <c r="AI120" s="184">
        <f>'COSTO VARIABLE'!AI9*0.7</f>
        <v>1586.2372632280189</v>
      </c>
      <c r="AJ120" s="184">
        <f>'COSTO VARIABLE'!AJ9*0.7</f>
        <v>1647.9442710845103</v>
      </c>
      <c r="AK120" s="184">
        <f>'COSTO VARIABLE'!AK9*0.7</f>
        <v>1763.1623660440464</v>
      </c>
      <c r="AL120" s="184">
        <f>'COSTO VARIABLE'!AL9*0.7</f>
        <v>1651.8260016238612</v>
      </c>
      <c r="AM120" s="184">
        <f>'COSTO VARIABLE'!AM9*0.7</f>
        <v>1474.1420714465914</v>
      </c>
      <c r="AN120" s="184">
        <f>'COSTO VARIABLE'!AN9*0.7</f>
        <v>1420.9455346869167</v>
      </c>
      <c r="AO120" s="184">
        <f>'COSTO VARIABLE'!AO9*0.7</f>
        <v>2112.9015157302747</v>
      </c>
      <c r="AP120" s="184">
        <f>'COSTO VARIABLE'!AP9*0.7</f>
        <v>1897.7790539286013</v>
      </c>
      <c r="AQ120" s="184">
        <f>'COSTO VARIABLE'!AQ9*0.7</f>
        <v>1542.4068454093917</v>
      </c>
      <c r="AR120" s="184">
        <f>'COSTO VARIABLE'!AR9*0.7</f>
        <v>1282.4371206643198</v>
      </c>
      <c r="AS120" s="184">
        <f>'COSTO VARIABLE'!AS9*0.7</f>
        <v>1257.3061734306377</v>
      </c>
      <c r="AT120" s="184">
        <f>'COSTO VARIABLE'!AT9*0.7</f>
        <v>1493.0214506261252</v>
      </c>
      <c r="AU120" s="184">
        <f>'COSTO VARIABLE'!AU9*0.7</f>
        <v>1697.2738716539807</v>
      </c>
      <c r="AV120" s="184">
        <f>'COSTO VARIABLE'!AV9*0.7</f>
        <v>1763.3003700604261</v>
      </c>
      <c r="AW120" s="184">
        <f>'COSTO VARIABLE'!AW9*0.7</f>
        <v>1886.5837316671298</v>
      </c>
      <c r="AX120" s="184">
        <f>'COSTO VARIABLE'!AX9*0.7</f>
        <v>1767.4538217375321</v>
      </c>
      <c r="AY120" s="184">
        <f>'COSTO VARIABLE'!AY9*0.7</f>
        <v>1577.3320164478528</v>
      </c>
      <c r="AZ120" s="184">
        <f>'COSTO VARIABLE'!AZ9*0.7</f>
        <v>1520.4117221150013</v>
      </c>
      <c r="BA120" s="184">
        <f>'COSTO VARIABLE'!BA9*0.7</f>
        <v>2260.8046218313939</v>
      </c>
      <c r="BB120" s="184">
        <f>'COSTO VARIABLE'!BB9*0.7</f>
        <v>2030.6235877036038</v>
      </c>
      <c r="BC120" s="184">
        <f>'COSTO VARIABLE'!BC9*0.7</f>
        <v>1650.3753245880494</v>
      </c>
      <c r="BD120" s="184">
        <f>'COSTO VARIABLE'!BD9*0.7</f>
        <v>1372.2077191108222</v>
      </c>
      <c r="BE120" s="184">
        <f>'COSTO VARIABLE'!BE9*0.7</f>
        <v>1345.3176055707825</v>
      </c>
      <c r="BF120" s="184">
        <f>'COSTO VARIABLE'!BF9*0.7</f>
        <v>1597.5329521699543</v>
      </c>
      <c r="BG120" s="184">
        <f>'COSTO VARIABLE'!BG9*0.7</f>
        <v>1816.0830426697592</v>
      </c>
      <c r="BH120" s="184">
        <f>'COSTO VARIABLE'!BH9*0.7</f>
        <v>1886.7313959646563</v>
      </c>
      <c r="BI120" s="184">
        <f>'COSTO VARIABLE'!BI9*0.7</f>
        <v>2018.6445928838291</v>
      </c>
      <c r="BJ120" s="184">
        <f>'COSTO VARIABLE'!BJ9*0.7</f>
        <v>1891.1755892591589</v>
      </c>
      <c r="BK120" s="184">
        <f>'COSTO VARIABLE'!BK9*0.7</f>
        <v>1687.7452575992029</v>
      </c>
      <c r="BL120" s="184">
        <f>'COSTO VARIABLE'!BL9*0.7</f>
        <v>1626.8405426630513</v>
      </c>
      <c r="BM120" s="184">
        <f>'COSTO VARIABLE'!BM9*0.7</f>
        <v>2419.0609453595907</v>
      </c>
      <c r="BN120" s="184">
        <f>'COSTO VARIABLE'!BN9*0.7</f>
        <v>2172.7672388428559</v>
      </c>
      <c r="BO120" s="184">
        <f>'COSTO VARIABLE'!BO9*0.7</f>
        <v>1765.9015973092128</v>
      </c>
      <c r="BP120" s="184">
        <f>'COSTO VARIABLE'!BP9*0.7</f>
        <v>1468.2622594485799</v>
      </c>
      <c r="BQ120" s="184">
        <f>'COSTO VARIABLE'!BQ9*0.7</f>
        <v>1439.4898379607373</v>
      </c>
      <c r="BR120" s="184">
        <f>'COSTO VARIABLE'!BR9*0.7</f>
        <v>1709.3602588218512</v>
      </c>
      <c r="BS120" s="184">
        <f>'COSTO VARIABLE'!BS9*0.7</f>
        <v>1943.2088556566428</v>
      </c>
      <c r="BT120" s="184">
        <f>'COSTO VARIABLE'!BT9*0.7</f>
        <v>2018.8025936821825</v>
      </c>
      <c r="BU120" s="184">
        <f>'COSTO VARIABLE'!BU9*0.7</f>
        <v>2159.949714385697</v>
      </c>
      <c r="BV120" s="184">
        <f>'COSTO VARIABLE'!BV9*0.7</f>
        <v>2023.5578805073003</v>
      </c>
      <c r="BW120" s="184">
        <f>'COSTO VARIABLE'!BW9*0.7</f>
        <v>1805.8874256311474</v>
      </c>
      <c r="BX120" s="184">
        <f>'COSTO VARIABLE'!BX9*0.7</f>
        <v>1740.7193806494654</v>
      </c>
      <c r="BY120" s="184">
        <f>'COSTO VARIABLE'!BY9*0.7</f>
        <v>2588.3952115347629</v>
      </c>
      <c r="BZ120" s="184">
        <f>'COSTO VARIABLE'!BZ9*0.7</f>
        <v>2324.8609455618562</v>
      </c>
      <c r="CA120" s="184">
        <f>'COSTO VARIABLE'!CA9*0.7</f>
        <v>1889.514709120858</v>
      </c>
      <c r="CB120" s="184">
        <f>'COSTO VARIABLE'!CB9*0.7</f>
        <v>1571.0406176099805</v>
      </c>
      <c r="CC120" s="184">
        <f>'COSTO VARIABLE'!CC9*0.7</f>
        <v>1540.254126617989</v>
      </c>
      <c r="CD120" s="184">
        <f>'COSTO VARIABLE'!CD9*0.7</f>
        <v>1829.015476939381</v>
      </c>
      <c r="CE120" s="184">
        <f>'COSTO VARIABLE'!CE9*0.7</f>
        <v>2079.2334755526076</v>
      </c>
      <c r="CF120" s="184">
        <f>'COSTO VARIABLE'!CF9*0.7</f>
        <v>2160.1187752399355</v>
      </c>
      <c r="CG120" s="184">
        <f>'COSTO VARIABLE'!CG9*0.7</f>
        <v>2311.1461943926965</v>
      </c>
      <c r="CH120" s="184">
        <f>'COSTO VARIABLE'!CH9*0.7</f>
        <v>2165.2069321428116</v>
      </c>
      <c r="CI120" s="184">
        <f>'COSTO VARIABLE'!CI9*0.7</f>
        <v>1932.2995454253276</v>
      </c>
      <c r="CJ120" s="184">
        <f>'COSTO VARIABLE'!CJ9*0.7</f>
        <v>1862.569737294928</v>
      </c>
      <c r="CK120" s="184">
        <f>'COSTO VARIABLE'!CK9*0.7</f>
        <v>2769.5828763421964</v>
      </c>
      <c r="CL120" s="184">
        <f>'COSTO VARIABLE'!CL9*0.7</f>
        <v>2487.6012117511868</v>
      </c>
      <c r="CM120" s="184">
        <f>'COSTO VARIABLE'!CM9*0.7</f>
        <v>2021.7807387593184</v>
      </c>
      <c r="CN120" s="184">
        <f>'COSTO VARIABLE'!CN9*0.7</f>
        <v>1681.0134608426795</v>
      </c>
      <c r="CO120" s="184">
        <f>'COSTO VARIABLE'!CO9*0.7</f>
        <v>1648.0719154812484</v>
      </c>
      <c r="CP120" s="184">
        <f>'COSTO VARIABLE'!CP9*0.7</f>
        <v>1957.0465603251378</v>
      </c>
      <c r="CQ120" s="184">
        <f>'COSTO VARIABLE'!CQ9*0.7</f>
        <v>2224.7798188412903</v>
      </c>
      <c r="CR120" s="184">
        <f>'COSTO VARIABLE'!CR9*0.7</f>
        <v>2311.3270895067308</v>
      </c>
      <c r="CS120" s="184">
        <f>'COSTO VARIABLE'!CS9*0.7</f>
        <v>2472.9264280001853</v>
      </c>
      <c r="CT120" s="184">
        <f>'COSTO VARIABLE'!CT9*0.7</f>
        <v>2316.771417392808</v>
      </c>
      <c r="CU120" s="184">
        <f>'COSTO VARIABLE'!CU9*0.7</f>
        <v>2067.5605136051008</v>
      </c>
      <c r="CV120" s="184">
        <f>'COSTO VARIABLE'!CV9*0.7</f>
        <v>1992.9496189055728</v>
      </c>
      <c r="CW120" s="184">
        <f>'COSTO VARIABLE'!CW9*0.7</f>
        <v>2963.4536776861505</v>
      </c>
      <c r="CX120" s="184">
        <f>'COSTO VARIABLE'!CX9*0.7</f>
        <v>2661.7332965737692</v>
      </c>
      <c r="CY120" s="184">
        <f>'COSTO VARIABLE'!CY9*0.7</f>
        <v>2163.3053904724702</v>
      </c>
      <c r="CZ120" s="184">
        <f>'COSTO VARIABLE'!CZ9*0.7</f>
        <v>1798.6844031016669</v>
      </c>
      <c r="DA120" s="184">
        <f>'COSTO VARIABLE'!DA9*0.7</f>
        <v>1763.4369495649357</v>
      </c>
      <c r="DB120" s="184">
        <f>'COSTO VARIABLE'!DB9*0.7</f>
        <v>2094.039819547897</v>
      </c>
      <c r="DC120" s="184">
        <f>'COSTO VARIABLE'!DC9*0.7</f>
        <v>2380.5144061601804</v>
      </c>
      <c r="DD120" s="184">
        <f>'COSTO VARIABLE'!DD9*0.7</f>
        <v>2473.1199857722022</v>
      </c>
      <c r="DE120" s="184">
        <f>'COSTO VARIABLE'!DE9*0.7</f>
        <v>2646.0312779601982</v>
      </c>
      <c r="DF120" s="184">
        <f>'COSTO VARIABLE'!DF9*0.7</f>
        <v>2478.9454166103051</v>
      </c>
      <c r="DG120" s="184">
        <f>'COSTO VARIABLE'!DG9*0.7</f>
        <v>2212.2897495574575</v>
      </c>
      <c r="DH120" s="184">
        <f>'COSTO VARIABLE'!DH9*0.7</f>
        <v>2132.4560922289634</v>
      </c>
      <c r="DI120" s="184">
        <f>'COSTO VARIABLE'!DI9*0.7</f>
        <v>3170.8954351241809</v>
      </c>
      <c r="DJ120" s="184">
        <f>'COSTO VARIABLE'!DJ9*0.7</f>
        <v>2848.0546273339328</v>
      </c>
      <c r="DK120" s="184">
        <f>'COSTO VARIABLE'!DK9*0.7</f>
        <v>2314.7367678055434</v>
      </c>
      <c r="DL120" s="184">
        <f>'COSTO VARIABLE'!DL9*0.7</f>
        <v>1924.5923113187835</v>
      </c>
      <c r="DM120" s="184">
        <f>'COSTO VARIABLE'!DM9*0.7</f>
        <v>1886.877536034481</v>
      </c>
      <c r="DN120" s="184">
        <f>'COSTO VARIABLE'!DN9*0.7</f>
        <v>2240.6226069162503</v>
      </c>
      <c r="DO120" s="184">
        <f>'COSTO VARIABLE'!DO9*0.7</f>
        <v>2547.1504145913932</v>
      </c>
      <c r="DP120" s="184">
        <f>'COSTO VARIABLE'!DP9*0.7</f>
        <v>2646.2383847762562</v>
      </c>
      <c r="DQ120" s="184">
        <f>'COSTO VARIABLE'!DQ9*0.7</f>
        <v>2831.2534674174121</v>
      </c>
      <c r="DR120" s="184">
        <f>'COSTO VARIABLE'!DR9*0.7</f>
        <v>2652.4715957730268</v>
      </c>
      <c r="DS120" s="184">
        <f>'COSTO VARIABLE'!DS9*0.7</f>
        <v>2367.1500320264795</v>
      </c>
      <c r="DT120" s="184">
        <f>'COSTO VARIABLE'!DT9*0.7</f>
        <v>2281.7280186849907</v>
      </c>
    </row>
    <row r="121" spans="1:124" x14ac:dyDescent="0.25">
      <c r="B121" s="832"/>
      <c r="C121" s="826"/>
      <c r="D121" s="438" t="s">
        <v>276</v>
      </c>
      <c r="E121" s="184">
        <f>SUM(E119:E120)</f>
        <v>1938.3310739932181</v>
      </c>
      <c r="F121" s="184">
        <f t="shared" ref="F121:BQ121" si="123">SUM(F119:F120)</f>
        <v>2140.3198753228089</v>
      </c>
      <c r="G121" s="184">
        <f t="shared" si="123"/>
        <v>2320.6418953891075</v>
      </c>
      <c r="H121" s="184">
        <f>SUM(H119:H120)</f>
        <v>2044.9333191036237</v>
      </c>
      <c r="I121" s="184">
        <f>SUM(I119:I120)</f>
        <v>2071.5623901053941</v>
      </c>
      <c r="J121" s="184">
        <f t="shared" si="123"/>
        <v>2367.9988118232004</v>
      </c>
      <c r="K121" s="184">
        <f t="shared" si="123"/>
        <v>2446.4686903432107</v>
      </c>
      <c r="L121" s="184">
        <f t="shared" si="123"/>
        <v>2534.6951664448275</v>
      </c>
      <c r="M121" s="184">
        <f t="shared" si="123"/>
        <v>2577.3362902689059</v>
      </c>
      <c r="N121" s="184">
        <f t="shared" si="123"/>
        <v>2499.7021013476524</v>
      </c>
      <c r="O121" s="184">
        <f t="shared" si="123"/>
        <v>2451.3042082211455</v>
      </c>
      <c r="P121" s="184">
        <f t="shared" si="123"/>
        <v>2309.1954190283723</v>
      </c>
      <c r="Q121" s="184">
        <f t="shared" si="123"/>
        <v>2852.1215191881111</v>
      </c>
      <c r="R121" s="184">
        <f t="shared" si="123"/>
        <v>2677.7082449526988</v>
      </c>
      <c r="S121" s="184">
        <f t="shared" si="123"/>
        <v>2355.8094030710545</v>
      </c>
      <c r="T121" s="184">
        <f t="shared" si="123"/>
        <v>2120.1302477634026</v>
      </c>
      <c r="U121" s="184">
        <f t="shared" si="123"/>
        <v>2098.1799051713142</v>
      </c>
      <c r="V121" s="184">
        <f t="shared" si="123"/>
        <v>2304.0627571195082</v>
      </c>
      <c r="W121" s="184">
        <f t="shared" si="123"/>
        <v>2482.4647319888027</v>
      </c>
      <c r="X121" s="184">
        <f t="shared" si="123"/>
        <v>2540.134832789262</v>
      </c>
      <c r="Y121" s="184">
        <f t="shared" si="123"/>
        <v>2647.8152953682675</v>
      </c>
      <c r="Z121" s="184">
        <f t="shared" si="123"/>
        <v>2543.7626183400571</v>
      </c>
      <c r="AA121" s="184">
        <f t="shared" si="123"/>
        <v>2377.7028705108328</v>
      </c>
      <c r="AB121" s="184">
        <f t="shared" si="123"/>
        <v>2327.9864810158101</v>
      </c>
      <c r="AC121" s="184">
        <f t="shared" si="123"/>
        <v>2974.6743137666117</v>
      </c>
      <c r="AD121" s="184">
        <f t="shared" si="123"/>
        <v>2773.6252840454217</v>
      </c>
      <c r="AE121" s="184">
        <f t="shared" si="123"/>
        <v>2441.5017246816742</v>
      </c>
      <c r="AF121" s="184">
        <f t="shared" si="123"/>
        <v>2198.5393651068407</v>
      </c>
      <c r="AG121" s="184">
        <f t="shared" si="123"/>
        <v>2175.0524985333059</v>
      </c>
      <c r="AH121" s="184">
        <f t="shared" si="123"/>
        <v>2395.3471501178738</v>
      </c>
      <c r="AI121" s="184">
        <f t="shared" si="123"/>
        <v>2586.2372632280189</v>
      </c>
      <c r="AJ121" s="184">
        <f t="shared" si="123"/>
        <v>2647.9442710845105</v>
      </c>
      <c r="AK121" s="184">
        <f t="shared" si="123"/>
        <v>2763.1623660440464</v>
      </c>
      <c r="AL121" s="184">
        <f t="shared" si="123"/>
        <v>2651.826001623861</v>
      </c>
      <c r="AM121" s="184">
        <f t="shared" si="123"/>
        <v>2474.1420714465912</v>
      </c>
      <c r="AN121" s="184">
        <f t="shared" si="123"/>
        <v>2420.9455346869167</v>
      </c>
      <c r="AO121" s="184">
        <f t="shared" si="123"/>
        <v>3112.9015157302747</v>
      </c>
      <c r="AP121" s="184">
        <f t="shared" si="123"/>
        <v>2897.7790539286016</v>
      </c>
      <c r="AQ121" s="184">
        <f t="shared" si="123"/>
        <v>2542.4068454093917</v>
      </c>
      <c r="AR121" s="184">
        <f t="shared" si="123"/>
        <v>2282.43712066432</v>
      </c>
      <c r="AS121" s="184">
        <f t="shared" si="123"/>
        <v>2257.3061734306375</v>
      </c>
      <c r="AT121" s="184">
        <f t="shared" si="123"/>
        <v>2493.0214506261254</v>
      </c>
      <c r="AU121" s="184">
        <f t="shared" si="123"/>
        <v>2697.2738716539807</v>
      </c>
      <c r="AV121" s="184">
        <f t="shared" si="123"/>
        <v>2763.3003700604258</v>
      </c>
      <c r="AW121" s="184">
        <f t="shared" si="123"/>
        <v>2886.5837316671295</v>
      </c>
      <c r="AX121" s="184">
        <f t="shared" si="123"/>
        <v>2767.4538217375321</v>
      </c>
      <c r="AY121" s="184">
        <f t="shared" si="123"/>
        <v>2577.3320164478528</v>
      </c>
      <c r="AZ121" s="184">
        <f t="shared" si="123"/>
        <v>2520.4117221150013</v>
      </c>
      <c r="BA121" s="184">
        <f t="shared" si="123"/>
        <v>3260.8046218313939</v>
      </c>
      <c r="BB121" s="184">
        <f t="shared" si="123"/>
        <v>3030.6235877036038</v>
      </c>
      <c r="BC121" s="184">
        <f t="shared" si="123"/>
        <v>2650.3753245880494</v>
      </c>
      <c r="BD121" s="184">
        <f t="shared" si="123"/>
        <v>2372.2077191108219</v>
      </c>
      <c r="BE121" s="184">
        <f t="shared" si="123"/>
        <v>2345.3176055707827</v>
      </c>
      <c r="BF121" s="184">
        <f t="shared" si="123"/>
        <v>2597.5329521699541</v>
      </c>
      <c r="BG121" s="184">
        <f t="shared" si="123"/>
        <v>2816.0830426697594</v>
      </c>
      <c r="BH121" s="184">
        <f t="shared" si="123"/>
        <v>2886.7313959646563</v>
      </c>
      <c r="BI121" s="184">
        <f t="shared" si="123"/>
        <v>3018.6445928838293</v>
      </c>
      <c r="BJ121" s="184">
        <f t="shared" si="123"/>
        <v>2891.1755892591591</v>
      </c>
      <c r="BK121" s="184">
        <f t="shared" si="123"/>
        <v>2687.7452575992029</v>
      </c>
      <c r="BL121" s="184">
        <f t="shared" si="123"/>
        <v>2626.8405426630516</v>
      </c>
      <c r="BM121" s="184">
        <f t="shared" si="123"/>
        <v>3419.0609453595907</v>
      </c>
      <c r="BN121" s="184">
        <f t="shared" si="123"/>
        <v>3172.7672388428559</v>
      </c>
      <c r="BO121" s="184">
        <f t="shared" si="123"/>
        <v>2765.9015973092128</v>
      </c>
      <c r="BP121" s="184">
        <f t="shared" si="123"/>
        <v>2468.2622594485802</v>
      </c>
      <c r="BQ121" s="184">
        <f t="shared" si="123"/>
        <v>2439.4898379607375</v>
      </c>
      <c r="BR121" s="184">
        <f t="shared" ref="BR121:DT121" si="124">SUM(BR119:BR120)</f>
        <v>2709.3602588218509</v>
      </c>
      <c r="BS121" s="184">
        <f t="shared" si="124"/>
        <v>2943.2088556566428</v>
      </c>
      <c r="BT121" s="184">
        <f t="shared" si="124"/>
        <v>3018.8025936821823</v>
      </c>
      <c r="BU121" s="184">
        <f t="shared" si="124"/>
        <v>3159.949714385697</v>
      </c>
      <c r="BV121" s="184">
        <f t="shared" si="124"/>
        <v>3023.5578805073001</v>
      </c>
      <c r="BW121" s="184">
        <f t="shared" si="124"/>
        <v>2805.8874256311474</v>
      </c>
      <c r="BX121" s="184">
        <f t="shared" si="124"/>
        <v>2740.7193806494652</v>
      </c>
      <c r="BY121" s="184">
        <f t="shared" si="124"/>
        <v>3588.3952115347629</v>
      </c>
      <c r="BZ121" s="184">
        <f t="shared" si="124"/>
        <v>3324.8609455618562</v>
      </c>
      <c r="CA121" s="184">
        <f t="shared" si="124"/>
        <v>2889.5147091208582</v>
      </c>
      <c r="CB121" s="184">
        <f t="shared" si="124"/>
        <v>2571.0406176099805</v>
      </c>
      <c r="CC121" s="184">
        <f t="shared" si="124"/>
        <v>2540.2541266179887</v>
      </c>
      <c r="CD121" s="184">
        <f t="shared" si="124"/>
        <v>2829.0154769393812</v>
      </c>
      <c r="CE121" s="184">
        <f t="shared" si="124"/>
        <v>3079.2334755526076</v>
      </c>
      <c r="CF121" s="184">
        <f t="shared" si="124"/>
        <v>3160.1187752399355</v>
      </c>
      <c r="CG121" s="184">
        <f t="shared" si="124"/>
        <v>3311.1461943926965</v>
      </c>
      <c r="CH121" s="184">
        <f t="shared" si="124"/>
        <v>3165.2069321428116</v>
      </c>
      <c r="CI121" s="184">
        <f t="shared" si="124"/>
        <v>2932.2995454253278</v>
      </c>
      <c r="CJ121" s="184">
        <f t="shared" si="124"/>
        <v>2862.569737294928</v>
      </c>
      <c r="CK121" s="184">
        <f t="shared" si="124"/>
        <v>3769.5828763421964</v>
      </c>
      <c r="CL121" s="184">
        <f t="shared" si="124"/>
        <v>3487.6012117511868</v>
      </c>
      <c r="CM121" s="184">
        <f t="shared" si="124"/>
        <v>3021.7807387593184</v>
      </c>
      <c r="CN121" s="184">
        <f t="shared" si="124"/>
        <v>2681.0134608426797</v>
      </c>
      <c r="CO121" s="184">
        <f t="shared" si="124"/>
        <v>2648.0719154812487</v>
      </c>
      <c r="CP121" s="184">
        <f t="shared" si="124"/>
        <v>2957.0465603251378</v>
      </c>
      <c r="CQ121" s="184">
        <f t="shared" si="124"/>
        <v>3224.7798188412903</v>
      </c>
      <c r="CR121" s="184">
        <f t="shared" si="124"/>
        <v>3311.3270895067308</v>
      </c>
      <c r="CS121" s="184">
        <f t="shared" si="124"/>
        <v>3472.9264280001853</v>
      </c>
      <c r="CT121" s="184">
        <f t="shared" si="124"/>
        <v>3316.771417392808</v>
      </c>
      <c r="CU121" s="184">
        <f t="shared" si="124"/>
        <v>3067.5605136051008</v>
      </c>
      <c r="CV121" s="184">
        <f t="shared" si="124"/>
        <v>2992.9496189055726</v>
      </c>
      <c r="CW121" s="184">
        <f t="shared" si="124"/>
        <v>3963.4536776861505</v>
      </c>
      <c r="CX121" s="184">
        <f t="shared" si="124"/>
        <v>3661.7332965737692</v>
      </c>
      <c r="CY121" s="184">
        <f t="shared" si="124"/>
        <v>3163.3053904724702</v>
      </c>
      <c r="CZ121" s="184">
        <f t="shared" si="124"/>
        <v>2798.6844031016672</v>
      </c>
      <c r="DA121" s="184">
        <f t="shared" si="124"/>
        <v>2763.4369495649357</v>
      </c>
      <c r="DB121" s="184">
        <f t="shared" si="124"/>
        <v>3094.039819547897</v>
      </c>
      <c r="DC121" s="184">
        <f t="shared" si="124"/>
        <v>3380.5144061601804</v>
      </c>
      <c r="DD121" s="184">
        <f t="shared" si="124"/>
        <v>3473.1199857722022</v>
      </c>
      <c r="DE121" s="184">
        <f t="shared" si="124"/>
        <v>3646.0312779601982</v>
      </c>
      <c r="DF121" s="184">
        <f t="shared" si="124"/>
        <v>3478.9454166103051</v>
      </c>
      <c r="DG121" s="184">
        <f t="shared" si="124"/>
        <v>3212.2897495574575</v>
      </c>
      <c r="DH121" s="184">
        <f t="shared" si="124"/>
        <v>3132.4560922289634</v>
      </c>
      <c r="DI121" s="184">
        <f t="shared" si="124"/>
        <v>4170.8954351241809</v>
      </c>
      <c r="DJ121" s="184">
        <f t="shared" si="124"/>
        <v>3848.0546273339328</v>
      </c>
      <c r="DK121" s="184">
        <f t="shared" si="124"/>
        <v>3314.7367678055434</v>
      </c>
      <c r="DL121" s="184">
        <f t="shared" si="124"/>
        <v>2924.5923113187837</v>
      </c>
      <c r="DM121" s="184">
        <f t="shared" si="124"/>
        <v>2886.8775360344807</v>
      </c>
      <c r="DN121" s="184">
        <f t="shared" si="124"/>
        <v>3240.6226069162503</v>
      </c>
      <c r="DO121" s="184">
        <f t="shared" si="124"/>
        <v>3547.1504145913932</v>
      </c>
      <c r="DP121" s="184">
        <f t="shared" si="124"/>
        <v>3646.2383847762562</v>
      </c>
      <c r="DQ121" s="184">
        <f t="shared" si="124"/>
        <v>3831.2534674174121</v>
      </c>
      <c r="DR121" s="184">
        <f t="shared" si="124"/>
        <v>3652.4715957730268</v>
      </c>
      <c r="DS121" s="184">
        <f t="shared" si="124"/>
        <v>3367.1500320264795</v>
      </c>
      <c r="DT121" s="184">
        <f t="shared" si="124"/>
        <v>3281.7280186849907</v>
      </c>
    </row>
    <row r="122" spans="1:124" x14ac:dyDescent="0.25">
      <c r="B122" s="832"/>
      <c r="C122" s="826"/>
      <c r="D122" s="438" t="s">
        <v>270</v>
      </c>
      <c r="E122" s="184"/>
      <c r="F122" s="184"/>
      <c r="G122" s="184"/>
      <c r="H122" s="184"/>
      <c r="I122" s="184"/>
      <c r="J122" s="184"/>
      <c r="K122" s="184">
        <f>(J119/2)+AVERAGE(E120:J120)/2</f>
        <v>1073.6489471447794</v>
      </c>
      <c r="L122" s="184"/>
      <c r="M122" s="184"/>
      <c r="N122" s="184"/>
      <c r="O122" s="184"/>
      <c r="P122" s="184">
        <f>(O119/2)+AVERAGE(K120:P120)</f>
        <v>1969.7836459423525</v>
      </c>
      <c r="Q122" s="184"/>
      <c r="R122" s="184"/>
      <c r="S122" s="184"/>
      <c r="T122" s="184"/>
      <c r="U122" s="184"/>
      <c r="V122" s="184"/>
      <c r="W122" s="184">
        <f>(V119/2)+AVERAGE(Q120:V120)</f>
        <v>1901.3353462110147</v>
      </c>
      <c r="X122" s="184"/>
      <c r="Y122" s="184"/>
      <c r="Z122" s="184"/>
      <c r="AA122" s="184"/>
      <c r="AB122" s="184">
        <f>(AA119/2)+AVERAGE(W120:AB120)</f>
        <v>1986.6444716688386</v>
      </c>
      <c r="AC122" s="184"/>
      <c r="AD122" s="184"/>
      <c r="AE122" s="184"/>
      <c r="AF122" s="184"/>
      <c r="AG122" s="184"/>
      <c r="AH122" s="184"/>
      <c r="AI122" s="184">
        <f>(AH119/2)+AVERAGE(AC120:AH120)</f>
        <v>1993.1233893752881</v>
      </c>
      <c r="AJ122" s="184"/>
      <c r="AK122" s="184"/>
      <c r="AL122" s="184"/>
      <c r="AM122" s="184"/>
      <c r="AN122" s="184">
        <f>(AM119/2)+AVERAGE(AI120:AN120)</f>
        <v>2090.7095846856573</v>
      </c>
      <c r="AO122" s="184"/>
      <c r="AP122" s="184"/>
      <c r="AQ122" s="184"/>
      <c r="AR122" s="184"/>
      <c r="AS122" s="184"/>
      <c r="AT122" s="184"/>
      <c r="AU122" s="184">
        <f>(AT119/2)+AVERAGE(AO120:AT120)</f>
        <v>2097.6420266315581</v>
      </c>
      <c r="AV122" s="184"/>
      <c r="AW122" s="184"/>
      <c r="AX122" s="184"/>
      <c r="AY122" s="184"/>
      <c r="AZ122" s="184">
        <f>(AY119/2)+AVERAGE(AU120:AZ120)</f>
        <v>2202.0592556136535</v>
      </c>
      <c r="BA122" s="184"/>
      <c r="BB122" s="184"/>
      <c r="BC122" s="184"/>
      <c r="BD122" s="184"/>
      <c r="BE122" s="184"/>
      <c r="BF122" s="184"/>
      <c r="BG122" s="184">
        <f>(BF119/2)+AVERAGE(BA120:BF120)</f>
        <v>2209.4769684957673</v>
      </c>
      <c r="BH122" s="184"/>
      <c r="BI122" s="184"/>
      <c r="BJ122" s="184"/>
      <c r="BK122" s="184"/>
      <c r="BL122" s="184">
        <f>(BK119/2)+AVERAGE(BG120:BL120)</f>
        <v>2321.2034035066099</v>
      </c>
      <c r="BM122" s="184"/>
      <c r="BN122" s="184"/>
      <c r="BO122" s="184"/>
      <c r="BP122" s="184"/>
      <c r="BQ122" s="184"/>
      <c r="BR122" s="184"/>
      <c r="BS122" s="184">
        <f>(BR119/2)+AVERAGE(BM120:BR120)</f>
        <v>2329.1403562904716</v>
      </c>
      <c r="BT122" s="184"/>
      <c r="BU122" s="184"/>
      <c r="BV122" s="184"/>
      <c r="BW122" s="184"/>
      <c r="BX122" s="184">
        <f>(BW119/2)+AVERAGE(BS120:BX120)</f>
        <v>2448.6876417520725</v>
      </c>
      <c r="BY122" s="184"/>
      <c r="BZ122" s="184"/>
      <c r="CA122" s="184"/>
      <c r="CB122" s="184"/>
      <c r="CC122" s="184"/>
      <c r="CD122" s="184"/>
      <c r="CE122" s="184">
        <f>(CD119/2)+AVERAGE(BY120:CD120)</f>
        <v>2457.1801812308049</v>
      </c>
      <c r="CF122" s="184"/>
      <c r="CG122" s="184"/>
      <c r="CH122" s="184"/>
      <c r="CI122" s="184"/>
      <c r="CJ122" s="184">
        <f>(CI119/2)+AVERAGE(CE120:CJ120)</f>
        <v>2585.0957766747179</v>
      </c>
      <c r="CK122" s="184"/>
      <c r="CL122" s="184"/>
      <c r="CM122" s="184"/>
      <c r="CN122" s="184"/>
      <c r="CO122" s="184"/>
      <c r="CP122" s="184"/>
      <c r="CQ122" s="184">
        <f>(CP119/2)+AVERAGE(CK120:CP120)</f>
        <v>2594.1827939169611</v>
      </c>
      <c r="CR122" s="184"/>
      <c r="CS122" s="184"/>
      <c r="CT122" s="184"/>
      <c r="CU122" s="184"/>
      <c r="CV122" s="184">
        <f>(CU119/2)+AVERAGE(CQ120:CV120)</f>
        <v>2731.0524810419479</v>
      </c>
      <c r="CW122" s="184"/>
      <c r="CX122" s="184"/>
      <c r="CY122" s="184"/>
      <c r="CZ122" s="184"/>
      <c r="DA122" s="184"/>
      <c r="DB122" s="184"/>
      <c r="DC122" s="184">
        <f>(DB119/2)+AVERAGE(CW120:DB120)</f>
        <v>2740.7755894911484</v>
      </c>
      <c r="DD122" s="184"/>
      <c r="DE122" s="184"/>
      <c r="DF122" s="184"/>
      <c r="DG122" s="184"/>
      <c r="DH122" s="184">
        <f>(DG119/2)+AVERAGE(DC120:DH120)</f>
        <v>2887.2261547148846</v>
      </c>
      <c r="DI122" s="184"/>
      <c r="DJ122" s="184"/>
      <c r="DK122" s="184"/>
      <c r="DL122" s="184"/>
      <c r="DM122" s="184"/>
      <c r="DN122" s="184"/>
      <c r="DO122" s="184">
        <f>(DN119/2)+AVERAGE(DI120:DN120)</f>
        <v>2897.6298807555286</v>
      </c>
      <c r="DP122" s="184"/>
      <c r="DQ122" s="184"/>
      <c r="DR122" s="184"/>
      <c r="DS122" s="184"/>
      <c r="DT122" s="184">
        <f>(DS119/2)+AVERAGE(DO120:DT120)</f>
        <v>3054.3319855449267</v>
      </c>
    </row>
    <row r="123" spans="1:124" x14ac:dyDescent="0.25">
      <c r="B123" s="832"/>
      <c r="C123" s="826"/>
      <c r="D123" s="438" t="s">
        <v>271</v>
      </c>
      <c r="E123" s="184"/>
      <c r="F123" s="184"/>
      <c r="G123" s="184"/>
      <c r="H123" s="184"/>
      <c r="I123" s="184">
        <f>((J119/2)+AVERAGE(E120:J120)/2+K122/6)*0.5</f>
        <v>626.29521916778799</v>
      </c>
      <c r="J123" s="184"/>
      <c r="K123" s="184"/>
      <c r="L123" s="184"/>
      <c r="M123" s="184"/>
      <c r="N123" s="184"/>
      <c r="O123" s="184">
        <f>((O119/2)+AVERAGE(K120:P120)+P122/6)/12*6</f>
        <v>1149.040460133039</v>
      </c>
      <c r="P123" s="184"/>
      <c r="Q123" s="184"/>
      <c r="R123" s="184"/>
      <c r="S123" s="184"/>
      <c r="T123" s="184"/>
      <c r="U123" s="184">
        <f>((V119/2)+AVERAGE(Q120:V120)+W122/6)/12*6</f>
        <v>1109.1122852897586</v>
      </c>
      <c r="V123" s="184"/>
      <c r="W123" s="184"/>
      <c r="X123" s="184"/>
      <c r="Y123" s="184"/>
      <c r="Z123" s="184"/>
      <c r="AA123" s="184">
        <f>((AA119/2)+AVERAGE(W120:AB120)+AB122/6)/12*6</f>
        <v>1158.8759418068225</v>
      </c>
      <c r="AB123" s="184"/>
      <c r="AC123" s="184"/>
      <c r="AD123" s="184"/>
      <c r="AE123" s="184"/>
      <c r="AF123" s="184"/>
      <c r="AG123" s="184">
        <f>((AH119/2)+AVERAGE(AC120:AH120)+AI122/6)/12*6</f>
        <v>1162.6553104689181</v>
      </c>
      <c r="AH123" s="184"/>
      <c r="AI123" s="184"/>
      <c r="AJ123" s="184"/>
      <c r="AK123" s="184"/>
      <c r="AL123" s="184"/>
      <c r="AM123" s="184">
        <f>((AM119/2)+AVERAGE(AI120:AN120)+AN122/6)/12*6</f>
        <v>1219.5805910666334</v>
      </c>
      <c r="AN123" s="184"/>
      <c r="AO123" s="184"/>
      <c r="AP123" s="184"/>
      <c r="AQ123" s="184"/>
      <c r="AR123" s="184"/>
      <c r="AS123" s="184">
        <f>((AT119/2)+AVERAGE(AO120:AT120)+AU122/6)/12*6</f>
        <v>1223.6245155350755</v>
      </c>
      <c r="AT123" s="184"/>
      <c r="AU123" s="184"/>
      <c r="AV123" s="184"/>
      <c r="AW123" s="184"/>
      <c r="AX123" s="184"/>
      <c r="AY123" s="184">
        <f>((AY119/2)+AVERAGE(AU120:AZ120)+AZ122/6)/12*6</f>
        <v>1284.5345657746311</v>
      </c>
      <c r="AZ123" s="184"/>
      <c r="BA123" s="184"/>
      <c r="BB123" s="184"/>
      <c r="BC123" s="184"/>
      <c r="BD123" s="184"/>
      <c r="BE123" s="184">
        <f>((BF119/2)+AVERAGE(BA120:BF120)+BG122/6)/12*6</f>
        <v>1288.8615649558642</v>
      </c>
      <c r="BF123" s="184"/>
      <c r="BG123" s="184"/>
      <c r="BH123" s="184"/>
      <c r="BI123" s="184"/>
      <c r="BJ123" s="184"/>
      <c r="BK123" s="184">
        <f>((BK119/2)+AVERAGE(BG120:BL120)+BL122/6)/12*6</f>
        <v>1354.0353187121891</v>
      </c>
      <c r="BL123" s="184"/>
      <c r="BM123" s="184"/>
      <c r="BN123" s="184"/>
      <c r="BO123" s="184"/>
      <c r="BP123" s="184"/>
      <c r="BQ123" s="184">
        <f>((BR119/2)+AVERAGE(BM120:BR120)+BS122/6)/12*6</f>
        <v>1358.6652078361085</v>
      </c>
      <c r="BR123" s="184"/>
      <c r="BS123" s="184"/>
      <c r="BT123" s="184"/>
      <c r="BU123" s="184"/>
      <c r="BV123" s="184"/>
      <c r="BW123" s="184">
        <f>((BW119/2)+AVERAGE(BS120:BX120)+BX122/6)/12*6</f>
        <v>1428.4011243553757</v>
      </c>
      <c r="BX123" s="184"/>
      <c r="BY123" s="184"/>
      <c r="BZ123" s="184"/>
      <c r="CA123" s="184"/>
      <c r="CB123" s="184"/>
      <c r="CC123" s="184">
        <f>((CD119/2)+AVERAGE(BY120:CD120)+CE122/6)/12*6</f>
        <v>1433.3551057179695</v>
      </c>
      <c r="CD123" s="184"/>
      <c r="CE123" s="184"/>
      <c r="CF123" s="184"/>
      <c r="CG123" s="184"/>
      <c r="CH123" s="184"/>
      <c r="CI123" s="184">
        <f>((CI119/2)+AVERAGE(CE120:CJ120)+CJ122/6)/12*6</f>
        <v>1507.9725363935854</v>
      </c>
      <c r="CJ123" s="184"/>
      <c r="CK123" s="184"/>
      <c r="CL123" s="184"/>
      <c r="CM123" s="184"/>
      <c r="CN123" s="184"/>
      <c r="CO123" s="184">
        <f>((CP119/2)+AVERAGE(CK120:CP120)+CQ122/6)/12*6</f>
        <v>1513.2732964515608</v>
      </c>
      <c r="CP123" s="184"/>
      <c r="CQ123" s="184"/>
      <c r="CR123" s="184"/>
      <c r="CS123" s="184"/>
      <c r="CT123" s="184"/>
      <c r="CU123" s="184">
        <f>((CU119/2)+AVERAGE(CQ120:CV120)+CV122/6)/12*6</f>
        <v>1593.1139472744696</v>
      </c>
      <c r="CV123" s="184"/>
      <c r="CW123" s="184"/>
      <c r="CX123" s="184"/>
      <c r="CY123" s="184"/>
      <c r="CZ123" s="184"/>
      <c r="DA123" s="184">
        <f>((DB119/2)+AVERAGE(CW120:DB120)+DC122/6)/12*6</f>
        <v>1598.7857605365032</v>
      </c>
      <c r="DB123" s="184"/>
      <c r="DC123" s="184"/>
      <c r="DD123" s="184"/>
      <c r="DE123" s="184"/>
      <c r="DF123" s="184"/>
      <c r="DG123" s="184">
        <f>((DG119/2)+AVERAGE(DC120:DH120)+DH122/6)/12*6</f>
        <v>1684.2152569170157</v>
      </c>
      <c r="DH123" s="184"/>
      <c r="DI123" s="184"/>
      <c r="DJ123" s="184"/>
      <c r="DK123" s="184"/>
      <c r="DL123" s="184"/>
      <c r="DM123" s="184">
        <f>((DN119/2)+AVERAGE(DI120:DN120)+DO122/6)/12*6</f>
        <v>1690.284097107392</v>
      </c>
      <c r="DN123" s="184"/>
      <c r="DO123" s="184"/>
      <c r="DP123" s="184"/>
      <c r="DQ123" s="184"/>
      <c r="DR123" s="184"/>
      <c r="DS123" s="184">
        <f>((DS119/2)+AVERAGE(DO120:DT120)+DT122/6)/12*6</f>
        <v>1781.6936582345406</v>
      </c>
      <c r="DT123" s="184"/>
    </row>
    <row r="124" spans="1:124" x14ac:dyDescent="0.25">
      <c r="B124" s="832"/>
      <c r="C124" s="826"/>
      <c r="D124" s="438" t="s">
        <v>592</v>
      </c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>
        <f>((W119+AVERAGE(Q120:AB120))/24)*12</f>
        <v>1221.9949544699634</v>
      </c>
      <c r="Y124" s="184"/>
      <c r="Z124" s="184"/>
      <c r="AA124" s="184"/>
      <c r="AB124" s="184"/>
      <c r="AC124" s="184"/>
      <c r="AD124" s="184"/>
      <c r="AE124" s="184"/>
      <c r="AF124" s="184"/>
      <c r="AG124" s="184"/>
      <c r="AH124" s="184"/>
      <c r="AI124" s="184"/>
      <c r="AJ124" s="184">
        <f>((AI119+AVERAGE(AC120:AN120))/24)*12</f>
        <v>1270.9582435152365</v>
      </c>
      <c r="AK124" s="184"/>
      <c r="AL124" s="184"/>
      <c r="AM124" s="184"/>
      <c r="AN124" s="184"/>
      <c r="AO124" s="184"/>
      <c r="AP124" s="184"/>
      <c r="AQ124" s="184"/>
      <c r="AR124" s="184"/>
      <c r="AS124" s="184"/>
      <c r="AT124" s="184"/>
      <c r="AU124" s="184"/>
      <c r="AV124" s="184">
        <f>((AU119+AVERAGE(AO120:AZ120))/24)*12</f>
        <v>1324.9253205613031</v>
      </c>
      <c r="AW124" s="184"/>
      <c r="AX124" s="184"/>
      <c r="AY124" s="184"/>
      <c r="AZ124" s="184"/>
      <c r="BA124" s="184"/>
      <c r="BB124" s="184"/>
      <c r="BC124" s="184"/>
      <c r="BD124" s="184"/>
      <c r="BE124" s="184"/>
      <c r="BF124" s="184"/>
      <c r="BG124" s="184"/>
      <c r="BH124" s="184">
        <f>((BG119+AVERAGE(BA120:BL120))/24)*12</f>
        <v>1382.6700930005945</v>
      </c>
      <c r="BI124" s="184"/>
      <c r="BJ124" s="184"/>
      <c r="BK124" s="184"/>
      <c r="BL124" s="184"/>
      <c r="BM124" s="184"/>
      <c r="BN124" s="184"/>
      <c r="BO124" s="184"/>
      <c r="BP124" s="184"/>
      <c r="BQ124" s="184"/>
      <c r="BR124" s="184"/>
      <c r="BS124" s="184"/>
      <c r="BT124" s="184">
        <f>((BS119+AVERAGE(BM120:BX120))/24)*12</f>
        <v>1444.4569995106358</v>
      </c>
      <c r="BU124" s="184"/>
      <c r="BV124" s="184"/>
      <c r="BW124" s="184"/>
      <c r="BX124" s="184"/>
      <c r="BY124" s="184"/>
      <c r="BZ124" s="184"/>
      <c r="CA124" s="184"/>
      <c r="CB124" s="184"/>
      <c r="CC124" s="184"/>
      <c r="CD124" s="184"/>
      <c r="CE124" s="184"/>
      <c r="CF124" s="184">
        <f>((CE119+AVERAGE(BY120:CJ120))/24)*12</f>
        <v>1510.5689894763809</v>
      </c>
      <c r="CG124" s="184"/>
      <c r="CH124" s="184"/>
      <c r="CI124" s="184"/>
      <c r="CJ124" s="184"/>
      <c r="CK124" s="184"/>
      <c r="CL124" s="184"/>
      <c r="CM124" s="184"/>
      <c r="CN124" s="184"/>
      <c r="CO124" s="184"/>
      <c r="CP124" s="184"/>
      <c r="CQ124" s="184"/>
      <c r="CR124" s="184">
        <f>((CQ119+AVERAGE(CK120:CV120))/24)*12</f>
        <v>1581.308818739727</v>
      </c>
      <c r="CS124" s="184"/>
      <c r="CT124" s="184"/>
      <c r="CU124" s="184"/>
      <c r="CV124" s="184"/>
      <c r="CW124" s="184"/>
      <c r="CX124" s="184"/>
      <c r="CY124" s="184"/>
      <c r="CZ124" s="184"/>
      <c r="DA124" s="184"/>
      <c r="DB124" s="184"/>
      <c r="DC124" s="184"/>
      <c r="DD124" s="184">
        <f>((DC119+AVERAGE(CW120:DH120))/24)*12</f>
        <v>1657.0004360515084</v>
      </c>
      <c r="DE124" s="184"/>
      <c r="DF124" s="184"/>
      <c r="DG124" s="184"/>
      <c r="DH124" s="184"/>
      <c r="DI124" s="184"/>
      <c r="DJ124" s="184"/>
      <c r="DK124" s="184"/>
      <c r="DL124" s="184"/>
      <c r="DM124" s="184"/>
      <c r="DN124" s="184"/>
      <c r="DO124" s="184"/>
      <c r="DP124" s="184">
        <f>((DO119+AVERAGE(DI120:DT120))/24)*12</f>
        <v>1737.9904665751137</v>
      </c>
      <c r="DQ124" s="184"/>
      <c r="DR124" s="184"/>
      <c r="DS124" s="184"/>
      <c r="DT124" s="184"/>
    </row>
    <row r="125" spans="1:124" x14ac:dyDescent="0.25">
      <c r="B125" s="832"/>
      <c r="C125" s="826"/>
      <c r="D125" s="438" t="s">
        <v>272</v>
      </c>
      <c r="E125" s="184">
        <f>E121*9%</f>
        <v>174.44979665938962</v>
      </c>
      <c r="F125" s="184">
        <f t="shared" ref="F125:BQ125" si="125">F121*9%</f>
        <v>192.6287887790528</v>
      </c>
      <c r="G125" s="184">
        <f t="shared" si="125"/>
        <v>208.85777058501967</v>
      </c>
      <c r="H125" s="184">
        <f t="shared" si="125"/>
        <v>184.04399871932614</v>
      </c>
      <c r="I125" s="184">
        <f>I121*9%</f>
        <v>186.44061510948546</v>
      </c>
      <c r="J125" s="184">
        <f>J121*9%</f>
        <v>213.11989306408802</v>
      </c>
      <c r="K125" s="184">
        <f t="shared" si="125"/>
        <v>220.18218213088895</v>
      </c>
      <c r="L125" s="184">
        <f t="shared" si="125"/>
        <v>228.12256498003447</v>
      </c>
      <c r="M125" s="184">
        <f t="shared" si="125"/>
        <v>231.96026612420152</v>
      </c>
      <c r="N125" s="184">
        <f t="shared" si="125"/>
        <v>224.9731891212887</v>
      </c>
      <c r="O125" s="184">
        <f t="shared" si="125"/>
        <v>220.61737873990307</v>
      </c>
      <c r="P125" s="184">
        <f t="shared" si="125"/>
        <v>207.82758771255351</v>
      </c>
      <c r="Q125" s="184">
        <f>Q121*9%</f>
        <v>256.69093672692998</v>
      </c>
      <c r="R125" s="184">
        <f t="shared" si="125"/>
        <v>240.99374204574289</v>
      </c>
      <c r="S125" s="184">
        <f t="shared" si="125"/>
        <v>212.02284627639489</v>
      </c>
      <c r="T125" s="184">
        <f t="shared" si="125"/>
        <v>190.81172229870623</v>
      </c>
      <c r="U125" s="184">
        <f t="shared" si="125"/>
        <v>188.83619146541827</v>
      </c>
      <c r="V125" s="184">
        <f t="shared" si="125"/>
        <v>207.36564814075572</v>
      </c>
      <c r="W125" s="184">
        <f t="shared" si="125"/>
        <v>223.42182587899222</v>
      </c>
      <c r="X125" s="184">
        <f t="shared" si="125"/>
        <v>228.61213495103357</v>
      </c>
      <c r="Y125" s="184">
        <f t="shared" si="125"/>
        <v>238.30337658314406</v>
      </c>
      <c r="Z125" s="184">
        <f t="shared" si="125"/>
        <v>228.93863565060514</v>
      </c>
      <c r="AA125" s="184">
        <f t="shared" si="125"/>
        <v>213.99325834597494</v>
      </c>
      <c r="AB125" s="184">
        <f t="shared" si="125"/>
        <v>209.51878329142289</v>
      </c>
      <c r="AC125" s="184">
        <f t="shared" si="125"/>
        <v>267.72068823899502</v>
      </c>
      <c r="AD125" s="184">
        <f t="shared" si="125"/>
        <v>249.62627556408793</v>
      </c>
      <c r="AE125" s="184">
        <f t="shared" si="125"/>
        <v>219.73515522135068</v>
      </c>
      <c r="AF125" s="184">
        <f t="shared" si="125"/>
        <v>197.86854285961564</v>
      </c>
      <c r="AG125" s="184">
        <f t="shared" si="125"/>
        <v>195.75472486799751</v>
      </c>
      <c r="AH125" s="184">
        <f t="shared" si="125"/>
        <v>215.58124351060863</v>
      </c>
      <c r="AI125" s="184">
        <f t="shared" si="125"/>
        <v>232.7613536905217</v>
      </c>
      <c r="AJ125" s="184">
        <f t="shared" si="125"/>
        <v>238.31498439760594</v>
      </c>
      <c r="AK125" s="184">
        <f t="shared" si="125"/>
        <v>248.68461294396417</v>
      </c>
      <c r="AL125" s="184">
        <f t="shared" si="125"/>
        <v>238.66434014614748</v>
      </c>
      <c r="AM125" s="184">
        <f t="shared" si="125"/>
        <v>222.67278643019321</v>
      </c>
      <c r="AN125" s="184">
        <f t="shared" si="125"/>
        <v>217.88509812182249</v>
      </c>
      <c r="AO125" s="184">
        <f t="shared" si="125"/>
        <v>280.16113641572468</v>
      </c>
      <c r="AP125" s="184">
        <f t="shared" si="125"/>
        <v>260.80011485357414</v>
      </c>
      <c r="AQ125" s="184">
        <f t="shared" si="125"/>
        <v>228.81661608684524</v>
      </c>
      <c r="AR125" s="184">
        <f t="shared" si="125"/>
        <v>205.4193408597888</v>
      </c>
      <c r="AS125" s="184">
        <f t="shared" si="125"/>
        <v>203.15755560875738</v>
      </c>
      <c r="AT125" s="184">
        <f t="shared" si="125"/>
        <v>224.37193055635129</v>
      </c>
      <c r="AU125" s="184">
        <f t="shared" si="125"/>
        <v>242.75464844885826</v>
      </c>
      <c r="AV125" s="184">
        <f t="shared" si="125"/>
        <v>248.69703330543831</v>
      </c>
      <c r="AW125" s="184">
        <f t="shared" si="125"/>
        <v>259.79253585004165</v>
      </c>
      <c r="AX125" s="184">
        <f t="shared" si="125"/>
        <v>249.07084395637787</v>
      </c>
      <c r="AY125" s="184">
        <f t="shared" si="125"/>
        <v>231.95988148030673</v>
      </c>
      <c r="AZ125" s="184">
        <f t="shared" si="125"/>
        <v>226.83705499035011</v>
      </c>
      <c r="BA125" s="184">
        <f t="shared" si="125"/>
        <v>293.47241596482542</v>
      </c>
      <c r="BB125" s="184">
        <f t="shared" si="125"/>
        <v>272.75612289332435</v>
      </c>
      <c r="BC125" s="184">
        <f t="shared" si="125"/>
        <v>238.53377921292443</v>
      </c>
      <c r="BD125" s="184">
        <f t="shared" si="125"/>
        <v>213.49869471997397</v>
      </c>
      <c r="BE125" s="184">
        <f t="shared" si="125"/>
        <v>211.07858450137044</v>
      </c>
      <c r="BF125" s="184">
        <f t="shared" si="125"/>
        <v>233.77796569529585</v>
      </c>
      <c r="BG125" s="184">
        <f t="shared" si="125"/>
        <v>253.44747384027835</v>
      </c>
      <c r="BH125" s="184">
        <f t="shared" si="125"/>
        <v>259.80582563681907</v>
      </c>
      <c r="BI125" s="184">
        <f t="shared" si="125"/>
        <v>271.67801335954465</v>
      </c>
      <c r="BJ125" s="184">
        <f t="shared" si="125"/>
        <v>260.20580303332429</v>
      </c>
      <c r="BK125" s="184">
        <f t="shared" si="125"/>
        <v>241.89707318392826</v>
      </c>
      <c r="BL125" s="184">
        <f t="shared" si="125"/>
        <v>236.41564883967465</v>
      </c>
      <c r="BM125" s="184">
        <f t="shared" si="125"/>
        <v>307.71548508236316</v>
      </c>
      <c r="BN125" s="184">
        <f t="shared" si="125"/>
        <v>285.54905149585704</v>
      </c>
      <c r="BO125" s="184">
        <f t="shared" si="125"/>
        <v>248.93114375782915</v>
      </c>
      <c r="BP125" s="184">
        <f t="shared" si="125"/>
        <v>222.14360335037222</v>
      </c>
      <c r="BQ125" s="184">
        <f t="shared" si="125"/>
        <v>219.55408541646636</v>
      </c>
      <c r="BR125" s="184">
        <f t="shared" ref="BR125:DT125" si="126">BR121*9%</f>
        <v>243.84242329396659</v>
      </c>
      <c r="BS125" s="184">
        <f t="shared" si="126"/>
        <v>264.88879700909786</v>
      </c>
      <c r="BT125" s="184">
        <f t="shared" si="126"/>
        <v>271.6922334313964</v>
      </c>
      <c r="BU125" s="184">
        <f t="shared" si="126"/>
        <v>284.3954742947127</v>
      </c>
      <c r="BV125" s="184">
        <f t="shared" si="126"/>
        <v>272.12020924565701</v>
      </c>
      <c r="BW125" s="184">
        <f t="shared" si="126"/>
        <v>252.52986830680325</v>
      </c>
      <c r="BX125" s="184">
        <f t="shared" si="126"/>
        <v>246.66474425845186</v>
      </c>
      <c r="BY125" s="184">
        <f t="shared" si="126"/>
        <v>322.95556903812866</v>
      </c>
      <c r="BZ125" s="184">
        <f t="shared" si="126"/>
        <v>299.23748510056703</v>
      </c>
      <c r="CA125" s="184">
        <f t="shared" si="126"/>
        <v>260.05632382087725</v>
      </c>
      <c r="CB125" s="184">
        <f t="shared" si="126"/>
        <v>231.39365558489823</v>
      </c>
      <c r="CC125" s="184">
        <f t="shared" si="126"/>
        <v>228.62287139561897</v>
      </c>
      <c r="CD125" s="184">
        <f t="shared" si="126"/>
        <v>254.6113929245443</v>
      </c>
      <c r="CE125" s="184">
        <f t="shared" si="126"/>
        <v>277.13101279973466</v>
      </c>
      <c r="CF125" s="184">
        <f t="shared" si="126"/>
        <v>284.41068977159421</v>
      </c>
      <c r="CG125" s="184">
        <f t="shared" si="126"/>
        <v>298.00315749534269</v>
      </c>
      <c r="CH125" s="184">
        <f t="shared" si="126"/>
        <v>284.86862389285301</v>
      </c>
      <c r="CI125" s="184">
        <f t="shared" si="126"/>
        <v>263.90695908827951</v>
      </c>
      <c r="CJ125" s="184">
        <f t="shared" si="126"/>
        <v>257.63127635654354</v>
      </c>
      <c r="CK125" s="184">
        <f t="shared" si="126"/>
        <v>339.26245887079767</v>
      </c>
      <c r="CL125" s="184">
        <f t="shared" si="126"/>
        <v>313.88410905760679</v>
      </c>
      <c r="CM125" s="184">
        <f t="shared" si="126"/>
        <v>271.96026648833868</v>
      </c>
      <c r="CN125" s="184">
        <f t="shared" si="126"/>
        <v>241.29121147584115</v>
      </c>
      <c r="CO125" s="184">
        <f t="shared" si="126"/>
        <v>238.32647239331237</v>
      </c>
      <c r="CP125" s="184">
        <f t="shared" si="126"/>
        <v>266.13419042926239</v>
      </c>
      <c r="CQ125" s="184">
        <f t="shared" si="126"/>
        <v>290.23018369571611</v>
      </c>
      <c r="CR125" s="184">
        <f t="shared" si="126"/>
        <v>298.01943805560575</v>
      </c>
      <c r="CS125" s="184">
        <f t="shared" si="126"/>
        <v>312.56337852001667</v>
      </c>
      <c r="CT125" s="184">
        <f t="shared" si="126"/>
        <v>298.50942756535272</v>
      </c>
      <c r="CU125" s="184">
        <f t="shared" si="126"/>
        <v>276.08044622445908</v>
      </c>
      <c r="CV125" s="184">
        <f t="shared" si="126"/>
        <v>269.36546570150153</v>
      </c>
      <c r="CW125" s="184">
        <f t="shared" si="126"/>
        <v>356.71083099175354</v>
      </c>
      <c r="CX125" s="184">
        <f t="shared" si="126"/>
        <v>329.55599669163922</v>
      </c>
      <c r="CY125" s="184">
        <f t="shared" si="126"/>
        <v>284.69748514252228</v>
      </c>
      <c r="CZ125" s="184">
        <f t="shared" si="126"/>
        <v>251.88159627915005</v>
      </c>
      <c r="DA125" s="184">
        <f t="shared" si="126"/>
        <v>248.70932546084421</v>
      </c>
      <c r="DB125" s="184">
        <f t="shared" si="126"/>
        <v>278.46358375931072</v>
      </c>
      <c r="DC125" s="184">
        <f t="shared" si="126"/>
        <v>304.24629655441623</v>
      </c>
      <c r="DD125" s="184">
        <f t="shared" si="126"/>
        <v>312.5807987194982</v>
      </c>
      <c r="DE125" s="184">
        <f t="shared" si="126"/>
        <v>328.14281501641784</v>
      </c>
      <c r="DF125" s="184">
        <f t="shared" si="126"/>
        <v>313.10508749492743</v>
      </c>
      <c r="DG125" s="184">
        <f t="shared" si="126"/>
        <v>289.10607746017115</v>
      </c>
      <c r="DH125" s="184">
        <f t="shared" si="126"/>
        <v>281.92104830060669</v>
      </c>
      <c r="DI125" s="184">
        <f t="shared" si="126"/>
        <v>375.38058916117626</v>
      </c>
      <c r="DJ125" s="184">
        <f t="shared" si="126"/>
        <v>346.32491646005394</v>
      </c>
      <c r="DK125" s="184">
        <f t="shared" si="126"/>
        <v>298.3263091024989</v>
      </c>
      <c r="DL125" s="184">
        <f t="shared" si="126"/>
        <v>263.2133080186905</v>
      </c>
      <c r="DM125" s="184">
        <f t="shared" si="126"/>
        <v>259.81897824310323</v>
      </c>
      <c r="DN125" s="184">
        <f t="shared" si="126"/>
        <v>291.65603462246253</v>
      </c>
      <c r="DO125" s="184">
        <f t="shared" si="126"/>
        <v>319.24353731322537</v>
      </c>
      <c r="DP125" s="184">
        <f t="shared" si="126"/>
        <v>328.16145462986304</v>
      </c>
      <c r="DQ125" s="184">
        <f t="shared" si="126"/>
        <v>344.81281206756705</v>
      </c>
      <c r="DR125" s="184">
        <f t="shared" si="126"/>
        <v>328.7224436195724</v>
      </c>
      <c r="DS125" s="184">
        <f t="shared" si="126"/>
        <v>303.04350288238317</v>
      </c>
      <c r="DT125" s="184">
        <f t="shared" si="126"/>
        <v>295.35552168164918</v>
      </c>
    </row>
    <row r="126" spans="1:124" ht="25.5" x14ac:dyDescent="0.25">
      <c r="A126" s="483"/>
      <c r="B126" s="832"/>
      <c r="C126" s="827"/>
      <c r="D126" s="484" t="s">
        <v>277</v>
      </c>
      <c r="E126" s="454">
        <f>SUM(E121:E125)-E120</f>
        <v>1174.4497966593894</v>
      </c>
      <c r="F126" s="454">
        <f t="shared" ref="F126:AB126" si="127">SUM(F121:F125)-F120</f>
        <v>1192.6287887790529</v>
      </c>
      <c r="G126" s="454">
        <f t="shared" si="127"/>
        <v>1208.8577705850198</v>
      </c>
      <c r="H126" s="454">
        <f t="shared" si="127"/>
        <v>1184.0439987193261</v>
      </c>
      <c r="I126" s="454">
        <f>SUM(I121:I125)-I120</f>
        <v>1812.7358342772732</v>
      </c>
      <c r="J126" s="454">
        <f t="shared" si="127"/>
        <v>1213.1198930640878</v>
      </c>
      <c r="K126" s="454">
        <f t="shared" si="127"/>
        <v>2293.8311292756684</v>
      </c>
      <c r="L126" s="454">
        <f t="shared" si="127"/>
        <v>1228.1225649800344</v>
      </c>
      <c r="M126" s="454">
        <f t="shared" si="127"/>
        <v>1231.9602661242013</v>
      </c>
      <c r="N126" s="454">
        <f t="shared" si="127"/>
        <v>1224.9731891212887</v>
      </c>
      <c r="O126" s="454">
        <f t="shared" si="127"/>
        <v>2369.6578388729417</v>
      </c>
      <c r="P126" s="454">
        <f>SUM(P121:P125)-P120</f>
        <v>3177.6112336549058</v>
      </c>
      <c r="Q126" s="454">
        <f>SUM(Q121:Q125)-Q120</f>
        <v>1256.6909367269302</v>
      </c>
      <c r="R126" s="454">
        <f>SUM(R121:R125)-R120</f>
        <v>1240.9937420457427</v>
      </c>
      <c r="S126" s="454">
        <f>SUM(S121:S125)-S120</f>
        <v>1212.0228462763948</v>
      </c>
      <c r="T126" s="454">
        <f t="shared" si="127"/>
        <v>1190.8117222987064</v>
      </c>
      <c r="U126" s="454">
        <f t="shared" si="127"/>
        <v>2297.9484767551776</v>
      </c>
      <c r="V126" s="454">
        <f t="shared" si="127"/>
        <v>1207.3656481407556</v>
      </c>
      <c r="W126" s="454">
        <f t="shared" si="127"/>
        <v>3124.7571720900069</v>
      </c>
      <c r="X126" s="454">
        <f t="shared" si="127"/>
        <v>2450.607089420997</v>
      </c>
      <c r="Y126" s="454">
        <f t="shared" si="127"/>
        <v>1238.303376583144</v>
      </c>
      <c r="Z126" s="454">
        <f t="shared" si="127"/>
        <v>1228.9386356506052</v>
      </c>
      <c r="AA126" s="454">
        <f t="shared" si="127"/>
        <v>2372.8692001527975</v>
      </c>
      <c r="AB126" s="454">
        <f t="shared" si="127"/>
        <v>3196.1632549602614</v>
      </c>
      <c r="AC126" s="454">
        <f>SUM(AC121:AC125)-AC120</f>
        <v>1267.7206882389953</v>
      </c>
      <c r="AD126" s="454">
        <f>SUM(AD121:AD125)-AD120</f>
        <v>1249.6262755640878</v>
      </c>
      <c r="AE126" s="454">
        <f>SUM(AE121:AE125)-AE120</f>
        <v>1219.7351552213506</v>
      </c>
      <c r="AF126" s="454">
        <f t="shared" ref="AF126:AN126" si="128">SUM(AF121:AF125)-AF120</f>
        <v>1197.8685428596154</v>
      </c>
      <c r="AG126" s="454">
        <f t="shared" si="128"/>
        <v>2358.4100353369158</v>
      </c>
      <c r="AH126" s="454">
        <f t="shared" si="128"/>
        <v>1215.5812435106086</v>
      </c>
      <c r="AI126" s="454">
        <f t="shared" si="128"/>
        <v>3225.8847430658102</v>
      </c>
      <c r="AJ126" s="454">
        <f t="shared" si="128"/>
        <v>2509.2732279128422</v>
      </c>
      <c r="AK126" s="454">
        <f t="shared" si="128"/>
        <v>1248.6846129439641</v>
      </c>
      <c r="AL126" s="454">
        <f t="shared" si="128"/>
        <v>1238.6643401461472</v>
      </c>
      <c r="AM126" s="454">
        <f t="shared" si="128"/>
        <v>2442.253377496826</v>
      </c>
      <c r="AN126" s="454">
        <f t="shared" si="128"/>
        <v>3308.5946828074798</v>
      </c>
      <c r="AO126" s="454">
        <f>SUM(AO121:AO125)-AO120</f>
        <v>1280.1611364157247</v>
      </c>
      <c r="AP126" s="454">
        <f>SUM(AP121:AP125)-AP120</f>
        <v>1260.8001148535743</v>
      </c>
      <c r="AQ126" s="454">
        <f>SUM(AQ121:AQ125)-AQ120</f>
        <v>1228.8166160868454</v>
      </c>
      <c r="AR126" s="454">
        <f t="shared" ref="AR126:AZ126" si="129">SUM(AR121:AR125)-AR120</f>
        <v>1205.4193408597891</v>
      </c>
      <c r="AS126" s="454">
        <f t="shared" si="129"/>
        <v>2426.7820711438326</v>
      </c>
      <c r="AT126" s="454">
        <f t="shared" si="129"/>
        <v>1224.3719305563516</v>
      </c>
      <c r="AU126" s="454">
        <f t="shared" si="129"/>
        <v>3340.3966750804166</v>
      </c>
      <c r="AV126" s="454">
        <f t="shared" si="129"/>
        <v>2573.6223538667418</v>
      </c>
      <c r="AW126" s="454">
        <f t="shared" si="129"/>
        <v>1259.7925358500413</v>
      </c>
      <c r="AX126" s="454">
        <f t="shared" si="129"/>
        <v>1249.0708439563778</v>
      </c>
      <c r="AY126" s="454">
        <f t="shared" si="129"/>
        <v>2516.4944472549378</v>
      </c>
      <c r="AZ126" s="454">
        <f t="shared" si="129"/>
        <v>3428.8963106040042</v>
      </c>
      <c r="BA126" s="454">
        <f>SUM(BA121:BA125)-BA120</f>
        <v>1293.4724159648254</v>
      </c>
      <c r="BB126" s="454">
        <f>SUM(BB121:BB125)-BB120</f>
        <v>1272.7561228933241</v>
      </c>
      <c r="BC126" s="454">
        <f>SUM(BC121:BC125)-BC120</f>
        <v>1238.5337792129244</v>
      </c>
      <c r="BD126" s="454">
        <f t="shared" ref="BD126:BL126" si="130">SUM(BD121:BD125)-BD120</f>
        <v>1213.4986947199739</v>
      </c>
      <c r="BE126" s="454">
        <f t="shared" si="130"/>
        <v>2499.9401494572348</v>
      </c>
      <c r="BF126" s="454">
        <f t="shared" si="130"/>
        <v>1233.7779656952955</v>
      </c>
      <c r="BG126" s="454">
        <f t="shared" si="130"/>
        <v>3462.924442336046</v>
      </c>
      <c r="BH126" s="454">
        <f t="shared" si="130"/>
        <v>2642.475918637414</v>
      </c>
      <c r="BI126" s="454">
        <f t="shared" si="130"/>
        <v>1271.678013359545</v>
      </c>
      <c r="BJ126" s="454">
        <f t="shared" si="130"/>
        <v>1260.2058030333244</v>
      </c>
      <c r="BK126" s="454">
        <f t="shared" si="130"/>
        <v>2595.9323918961172</v>
      </c>
      <c r="BL126" s="454">
        <f t="shared" si="130"/>
        <v>3557.6190523462847</v>
      </c>
      <c r="BM126" s="454">
        <f>SUM(BM121:BM125)-BM120</f>
        <v>1307.7154850823631</v>
      </c>
      <c r="BN126" s="454">
        <f>SUM(BN121:BN125)-BN120</f>
        <v>1285.5490514958569</v>
      </c>
      <c r="BO126" s="454">
        <f>SUM(BO121:BO125)-BO120</f>
        <v>1248.931143757829</v>
      </c>
      <c r="BP126" s="454">
        <f t="shared" ref="BP126:BX126" si="131">SUM(BP121:BP125)-BP120</f>
        <v>1222.1436033503726</v>
      </c>
      <c r="BQ126" s="454">
        <f t="shared" si="131"/>
        <v>2578.219293252575</v>
      </c>
      <c r="BR126" s="454">
        <f t="shared" si="131"/>
        <v>1243.8424232939662</v>
      </c>
      <c r="BS126" s="454">
        <f t="shared" si="131"/>
        <v>3594.0291532995693</v>
      </c>
      <c r="BT126" s="454">
        <f t="shared" si="131"/>
        <v>2716.1492329420325</v>
      </c>
      <c r="BU126" s="454">
        <f t="shared" si="131"/>
        <v>1284.3954742947126</v>
      </c>
      <c r="BV126" s="454">
        <f t="shared" si="131"/>
        <v>1272.1202092456567</v>
      </c>
      <c r="BW126" s="454">
        <f t="shared" si="131"/>
        <v>2680.9309926621791</v>
      </c>
      <c r="BX126" s="454">
        <f t="shared" si="131"/>
        <v>3695.3523860105242</v>
      </c>
      <c r="BY126" s="454">
        <f>SUM(BY121:BY125)-BY120</f>
        <v>1322.9555690381285</v>
      </c>
      <c r="BZ126" s="454">
        <f>SUM(BZ121:BZ125)-BZ120</f>
        <v>1299.237485100567</v>
      </c>
      <c r="CA126" s="454">
        <f>SUM(CA121:CA125)-CA120</f>
        <v>1260.0563238208777</v>
      </c>
      <c r="CB126" s="454">
        <f t="shared" ref="CB126:CJ126" si="132">SUM(CB121:CB125)-CB120</f>
        <v>1231.3936555848982</v>
      </c>
      <c r="CC126" s="454">
        <f t="shared" si="132"/>
        <v>2661.9779771135882</v>
      </c>
      <c r="CD126" s="454">
        <f t="shared" si="132"/>
        <v>1254.6113929245446</v>
      </c>
      <c r="CE126" s="454">
        <f t="shared" si="132"/>
        <v>3734.3111940305394</v>
      </c>
      <c r="CF126" s="454">
        <f t="shared" si="132"/>
        <v>2794.9796792479747</v>
      </c>
      <c r="CG126" s="454">
        <f t="shared" si="132"/>
        <v>1298.0031574953427</v>
      </c>
      <c r="CH126" s="454">
        <f t="shared" si="132"/>
        <v>1284.8686238928531</v>
      </c>
      <c r="CI126" s="454">
        <f t="shared" si="132"/>
        <v>2771.879495481865</v>
      </c>
      <c r="CJ126" s="454">
        <f t="shared" si="132"/>
        <v>3842.7270530312617</v>
      </c>
      <c r="CK126" s="454">
        <f>SUM(CK121:CK125)-CK120</f>
        <v>1339.2624588707981</v>
      </c>
      <c r="CL126" s="454">
        <f>SUM(CL121:CL125)-CL120</f>
        <v>1313.8841090576066</v>
      </c>
      <c r="CM126" s="454">
        <f>SUM(CM121:CM125)-CM120</f>
        <v>1271.9602664883387</v>
      </c>
      <c r="CN126" s="454">
        <f t="shared" ref="CN126:CV126" si="133">SUM(CN121:CN125)-CN120</f>
        <v>1241.2912114758412</v>
      </c>
      <c r="CO126" s="454">
        <f t="shared" si="133"/>
        <v>2751.5997688448733</v>
      </c>
      <c r="CP126" s="454">
        <f t="shared" si="133"/>
        <v>1266.1341904292622</v>
      </c>
      <c r="CQ126" s="454">
        <f t="shared" si="133"/>
        <v>3884.412977612677</v>
      </c>
      <c r="CR126" s="454">
        <f t="shared" si="133"/>
        <v>2879.3282567953329</v>
      </c>
      <c r="CS126" s="454">
        <f t="shared" si="133"/>
        <v>1312.5633785200166</v>
      </c>
      <c r="CT126" s="454">
        <f t="shared" si="133"/>
        <v>1298.5094275653528</v>
      </c>
      <c r="CU126" s="454">
        <f t="shared" si="133"/>
        <v>2869.1943934989285</v>
      </c>
      <c r="CV126" s="454">
        <f t="shared" si="133"/>
        <v>4000.4179467434487</v>
      </c>
      <c r="CW126" s="454">
        <f>SUM(CW121:CW125)-CW120</f>
        <v>1356.7108309917539</v>
      </c>
      <c r="CX126" s="454">
        <f>SUM(CX121:CX125)-CX120</f>
        <v>1329.5559966916394</v>
      </c>
      <c r="CY126" s="454">
        <f>SUM(CY121:CY125)-CY120</f>
        <v>1284.6974851425221</v>
      </c>
      <c r="CZ126" s="454">
        <f t="shared" ref="CZ126:DH126" si="134">SUM(CZ121:CZ125)-CZ120</f>
        <v>1251.8815962791502</v>
      </c>
      <c r="DA126" s="454">
        <f t="shared" si="134"/>
        <v>2847.4950859973474</v>
      </c>
      <c r="DB126" s="454">
        <f t="shared" si="134"/>
        <v>1278.4635837593109</v>
      </c>
      <c r="DC126" s="454">
        <f t="shared" si="134"/>
        <v>4045.0218860455643</v>
      </c>
      <c r="DD126" s="454">
        <f t="shared" si="134"/>
        <v>2969.5812347710071</v>
      </c>
      <c r="DE126" s="454">
        <f t="shared" si="134"/>
        <v>1328.1428150164179</v>
      </c>
      <c r="DF126" s="454">
        <f t="shared" si="134"/>
        <v>1313.1050874949274</v>
      </c>
      <c r="DG126" s="454">
        <f t="shared" si="134"/>
        <v>2973.3213343771872</v>
      </c>
      <c r="DH126" s="454">
        <f t="shared" si="134"/>
        <v>4169.147203015491</v>
      </c>
      <c r="DI126" s="454">
        <f>SUM(DI121:DI125)-DI120</f>
        <v>1375.3805891611764</v>
      </c>
      <c r="DJ126" s="454">
        <f>SUM(DJ121:DJ125)-DJ120</f>
        <v>1346.3249164600543</v>
      </c>
      <c r="DK126" s="454">
        <f>SUM(DK121:DK125)-DK120</f>
        <v>1298.3263091024987</v>
      </c>
      <c r="DL126" s="454">
        <f t="shared" ref="DL126:DT126" si="135">SUM(DL121:DL125)-DL120</f>
        <v>1263.2133080186907</v>
      </c>
      <c r="DM126" s="454">
        <f t="shared" si="135"/>
        <v>2950.1030753504956</v>
      </c>
      <c r="DN126" s="454">
        <f t="shared" si="135"/>
        <v>1291.6560346224624</v>
      </c>
      <c r="DO126" s="454">
        <f t="shared" si="135"/>
        <v>4216.8734180687543</v>
      </c>
      <c r="DP126" s="454">
        <f t="shared" si="135"/>
        <v>3066.1519212049775</v>
      </c>
      <c r="DQ126" s="454">
        <f t="shared" si="135"/>
        <v>1344.8128120675674</v>
      </c>
      <c r="DR126" s="454">
        <f t="shared" si="135"/>
        <v>1328.7224436195725</v>
      </c>
      <c r="DS126" s="454">
        <f t="shared" si="135"/>
        <v>3084.7371611169237</v>
      </c>
      <c r="DT126" s="454">
        <f t="shared" si="135"/>
        <v>4349.6875072265757</v>
      </c>
    </row>
    <row r="127" spans="1:124" x14ac:dyDescent="0.25">
      <c r="B127" s="832"/>
      <c r="C127" s="825" t="s">
        <v>279</v>
      </c>
      <c r="D127" s="438" t="s">
        <v>275</v>
      </c>
      <c r="E127" s="184">
        <f>F86</f>
        <v>1000</v>
      </c>
      <c r="F127" s="184">
        <f t="shared" ref="F127:AB127" si="136">E127</f>
        <v>1000</v>
      </c>
      <c r="G127" s="184">
        <f t="shared" si="136"/>
        <v>1000</v>
      </c>
      <c r="H127" s="184">
        <f t="shared" si="136"/>
        <v>1000</v>
      </c>
      <c r="I127" s="184">
        <f t="shared" si="136"/>
        <v>1000</v>
      </c>
      <c r="J127" s="184">
        <f t="shared" si="136"/>
        <v>1000</v>
      </c>
      <c r="K127" s="184">
        <f t="shared" si="136"/>
        <v>1000</v>
      </c>
      <c r="L127" s="184">
        <f t="shared" si="136"/>
        <v>1000</v>
      </c>
      <c r="M127" s="184">
        <f t="shared" si="136"/>
        <v>1000</v>
      </c>
      <c r="N127" s="184">
        <f t="shared" si="136"/>
        <v>1000</v>
      </c>
      <c r="O127" s="184">
        <f t="shared" si="136"/>
        <v>1000</v>
      </c>
      <c r="P127" s="184">
        <f t="shared" si="136"/>
        <v>1000</v>
      </c>
      <c r="Q127" s="184">
        <f>U86</f>
        <v>1000</v>
      </c>
      <c r="R127" s="184">
        <f t="shared" si="136"/>
        <v>1000</v>
      </c>
      <c r="S127" s="184">
        <f t="shared" si="136"/>
        <v>1000</v>
      </c>
      <c r="T127" s="184">
        <f t="shared" si="136"/>
        <v>1000</v>
      </c>
      <c r="U127" s="184">
        <f t="shared" si="136"/>
        <v>1000</v>
      </c>
      <c r="V127" s="184">
        <f t="shared" si="136"/>
        <v>1000</v>
      </c>
      <c r="W127" s="184">
        <f t="shared" si="136"/>
        <v>1000</v>
      </c>
      <c r="X127" s="184">
        <f t="shared" si="136"/>
        <v>1000</v>
      </c>
      <c r="Y127" s="184">
        <f t="shared" si="136"/>
        <v>1000</v>
      </c>
      <c r="Z127" s="184">
        <f t="shared" si="136"/>
        <v>1000</v>
      </c>
      <c r="AA127" s="184">
        <f t="shared" si="136"/>
        <v>1000</v>
      </c>
      <c r="AB127" s="184">
        <f t="shared" si="136"/>
        <v>1000</v>
      </c>
      <c r="AC127" s="184">
        <f>AG86</f>
        <v>1000</v>
      </c>
      <c r="AD127" s="184">
        <f t="shared" ref="AD127:AN127" si="137">AC127</f>
        <v>1000</v>
      </c>
      <c r="AE127" s="184">
        <f t="shared" si="137"/>
        <v>1000</v>
      </c>
      <c r="AF127" s="184">
        <f t="shared" si="137"/>
        <v>1000</v>
      </c>
      <c r="AG127" s="184">
        <f t="shared" si="137"/>
        <v>1000</v>
      </c>
      <c r="AH127" s="184">
        <f t="shared" si="137"/>
        <v>1000</v>
      </c>
      <c r="AI127" s="184">
        <f t="shared" si="137"/>
        <v>1000</v>
      </c>
      <c r="AJ127" s="184">
        <f t="shared" si="137"/>
        <v>1000</v>
      </c>
      <c r="AK127" s="184">
        <f t="shared" si="137"/>
        <v>1000</v>
      </c>
      <c r="AL127" s="184">
        <f t="shared" si="137"/>
        <v>1000</v>
      </c>
      <c r="AM127" s="184">
        <f t="shared" si="137"/>
        <v>1000</v>
      </c>
      <c r="AN127" s="184">
        <f t="shared" si="137"/>
        <v>1000</v>
      </c>
      <c r="AO127" s="184">
        <f>AS86</f>
        <v>1000</v>
      </c>
      <c r="AP127" s="184">
        <f t="shared" ref="AP127:AZ127" si="138">AO127</f>
        <v>1000</v>
      </c>
      <c r="AQ127" s="184">
        <f t="shared" si="138"/>
        <v>1000</v>
      </c>
      <c r="AR127" s="184">
        <f t="shared" si="138"/>
        <v>1000</v>
      </c>
      <c r="AS127" s="184">
        <f t="shared" si="138"/>
        <v>1000</v>
      </c>
      <c r="AT127" s="184">
        <f t="shared" si="138"/>
        <v>1000</v>
      </c>
      <c r="AU127" s="184">
        <f t="shared" si="138"/>
        <v>1000</v>
      </c>
      <c r="AV127" s="184">
        <f t="shared" si="138"/>
        <v>1000</v>
      </c>
      <c r="AW127" s="184">
        <f t="shared" si="138"/>
        <v>1000</v>
      </c>
      <c r="AX127" s="184">
        <f t="shared" si="138"/>
        <v>1000</v>
      </c>
      <c r="AY127" s="184">
        <f t="shared" si="138"/>
        <v>1000</v>
      </c>
      <c r="AZ127" s="184">
        <f t="shared" si="138"/>
        <v>1000</v>
      </c>
      <c r="BA127" s="184">
        <f>BE86</f>
        <v>1000</v>
      </c>
      <c r="BB127" s="184">
        <f t="shared" ref="BB127:BL127" si="139">BA127</f>
        <v>1000</v>
      </c>
      <c r="BC127" s="184">
        <f t="shared" si="139"/>
        <v>1000</v>
      </c>
      <c r="BD127" s="184">
        <f t="shared" si="139"/>
        <v>1000</v>
      </c>
      <c r="BE127" s="184">
        <f t="shared" si="139"/>
        <v>1000</v>
      </c>
      <c r="BF127" s="184">
        <f t="shared" si="139"/>
        <v>1000</v>
      </c>
      <c r="BG127" s="184">
        <f t="shared" si="139"/>
        <v>1000</v>
      </c>
      <c r="BH127" s="184">
        <f t="shared" si="139"/>
        <v>1000</v>
      </c>
      <c r="BI127" s="184">
        <f t="shared" si="139"/>
        <v>1000</v>
      </c>
      <c r="BJ127" s="184">
        <f t="shared" si="139"/>
        <v>1000</v>
      </c>
      <c r="BK127" s="184">
        <f t="shared" si="139"/>
        <v>1000</v>
      </c>
      <c r="BL127" s="184">
        <f t="shared" si="139"/>
        <v>1000</v>
      </c>
      <c r="BM127" s="184">
        <f>BQ86</f>
        <v>1000</v>
      </c>
      <c r="BN127" s="184">
        <f t="shared" ref="BN127:BX127" si="140">BM127</f>
        <v>1000</v>
      </c>
      <c r="BO127" s="184">
        <f t="shared" si="140"/>
        <v>1000</v>
      </c>
      <c r="BP127" s="184">
        <f t="shared" si="140"/>
        <v>1000</v>
      </c>
      <c r="BQ127" s="184">
        <f t="shared" si="140"/>
        <v>1000</v>
      </c>
      <c r="BR127" s="184">
        <f t="shared" si="140"/>
        <v>1000</v>
      </c>
      <c r="BS127" s="184">
        <f t="shared" si="140"/>
        <v>1000</v>
      </c>
      <c r="BT127" s="184">
        <f t="shared" si="140"/>
        <v>1000</v>
      </c>
      <c r="BU127" s="184">
        <f t="shared" si="140"/>
        <v>1000</v>
      </c>
      <c r="BV127" s="184">
        <f t="shared" si="140"/>
        <v>1000</v>
      </c>
      <c r="BW127" s="184">
        <f t="shared" si="140"/>
        <v>1000</v>
      </c>
      <c r="BX127" s="184">
        <f t="shared" si="140"/>
        <v>1000</v>
      </c>
      <c r="BY127" s="184">
        <f>CC86</f>
        <v>1000</v>
      </c>
      <c r="BZ127" s="184">
        <f t="shared" ref="BZ127:CJ127" si="141">BY127</f>
        <v>1000</v>
      </c>
      <c r="CA127" s="184">
        <f t="shared" si="141"/>
        <v>1000</v>
      </c>
      <c r="CB127" s="184">
        <f t="shared" si="141"/>
        <v>1000</v>
      </c>
      <c r="CC127" s="184">
        <f t="shared" si="141"/>
        <v>1000</v>
      </c>
      <c r="CD127" s="184">
        <f t="shared" si="141"/>
        <v>1000</v>
      </c>
      <c r="CE127" s="184">
        <f t="shared" si="141"/>
        <v>1000</v>
      </c>
      <c r="CF127" s="184">
        <f t="shared" si="141"/>
        <v>1000</v>
      </c>
      <c r="CG127" s="184">
        <f t="shared" si="141"/>
        <v>1000</v>
      </c>
      <c r="CH127" s="184">
        <f t="shared" si="141"/>
        <v>1000</v>
      </c>
      <c r="CI127" s="184">
        <f t="shared" si="141"/>
        <v>1000</v>
      </c>
      <c r="CJ127" s="184">
        <f t="shared" si="141"/>
        <v>1000</v>
      </c>
      <c r="CK127" s="184">
        <f>CO86</f>
        <v>1000</v>
      </c>
      <c r="CL127" s="184">
        <f t="shared" ref="CL127:CV127" si="142">CK127</f>
        <v>1000</v>
      </c>
      <c r="CM127" s="184">
        <f t="shared" si="142"/>
        <v>1000</v>
      </c>
      <c r="CN127" s="184">
        <f t="shared" si="142"/>
        <v>1000</v>
      </c>
      <c r="CO127" s="184">
        <f t="shared" si="142"/>
        <v>1000</v>
      </c>
      <c r="CP127" s="184">
        <f t="shared" si="142"/>
        <v>1000</v>
      </c>
      <c r="CQ127" s="184">
        <f t="shared" si="142"/>
        <v>1000</v>
      </c>
      <c r="CR127" s="184">
        <f t="shared" si="142"/>
        <v>1000</v>
      </c>
      <c r="CS127" s="184">
        <f t="shared" si="142"/>
        <v>1000</v>
      </c>
      <c r="CT127" s="184">
        <f t="shared" si="142"/>
        <v>1000</v>
      </c>
      <c r="CU127" s="184">
        <f t="shared" si="142"/>
        <v>1000</v>
      </c>
      <c r="CV127" s="184">
        <f t="shared" si="142"/>
        <v>1000</v>
      </c>
      <c r="CW127" s="184">
        <f>DA86</f>
        <v>1000</v>
      </c>
      <c r="CX127" s="184">
        <f t="shared" ref="CX127:DH127" si="143">CW127</f>
        <v>1000</v>
      </c>
      <c r="CY127" s="184">
        <f t="shared" si="143"/>
        <v>1000</v>
      </c>
      <c r="CZ127" s="184">
        <f t="shared" si="143"/>
        <v>1000</v>
      </c>
      <c r="DA127" s="184">
        <f t="shared" si="143"/>
        <v>1000</v>
      </c>
      <c r="DB127" s="184">
        <f t="shared" si="143"/>
        <v>1000</v>
      </c>
      <c r="DC127" s="184">
        <f t="shared" si="143"/>
        <v>1000</v>
      </c>
      <c r="DD127" s="184">
        <f t="shared" si="143"/>
        <v>1000</v>
      </c>
      <c r="DE127" s="184">
        <f t="shared" si="143"/>
        <v>1000</v>
      </c>
      <c r="DF127" s="184">
        <f t="shared" si="143"/>
        <v>1000</v>
      </c>
      <c r="DG127" s="184">
        <f t="shared" si="143"/>
        <v>1000</v>
      </c>
      <c r="DH127" s="184">
        <f t="shared" si="143"/>
        <v>1000</v>
      </c>
      <c r="DI127" s="184">
        <f>DM86</f>
        <v>1000</v>
      </c>
      <c r="DJ127" s="184">
        <f t="shared" ref="DJ127:DT127" si="144">DI127</f>
        <v>1000</v>
      </c>
      <c r="DK127" s="184">
        <f t="shared" si="144"/>
        <v>1000</v>
      </c>
      <c r="DL127" s="184">
        <f t="shared" si="144"/>
        <v>1000</v>
      </c>
      <c r="DM127" s="184">
        <f t="shared" si="144"/>
        <v>1000</v>
      </c>
      <c r="DN127" s="184">
        <f t="shared" si="144"/>
        <v>1000</v>
      </c>
      <c r="DO127" s="184">
        <f t="shared" si="144"/>
        <v>1000</v>
      </c>
      <c r="DP127" s="184">
        <f t="shared" si="144"/>
        <v>1000</v>
      </c>
      <c r="DQ127" s="184">
        <f t="shared" si="144"/>
        <v>1000</v>
      </c>
      <c r="DR127" s="184">
        <f t="shared" si="144"/>
        <v>1000</v>
      </c>
      <c r="DS127" s="184">
        <f t="shared" si="144"/>
        <v>1000</v>
      </c>
      <c r="DT127" s="184">
        <f t="shared" si="144"/>
        <v>1000</v>
      </c>
    </row>
    <row r="128" spans="1:124" x14ac:dyDescent="0.25">
      <c r="B128" s="832"/>
      <c r="C128" s="826"/>
      <c r="D128" s="482" t="s">
        <v>4</v>
      </c>
      <c r="E128" s="184">
        <f>'COSTO VARIABLE'!E9*0.3</f>
        <v>402.14188885423624</v>
      </c>
      <c r="F128" s="184">
        <f>'COSTO VARIABLE'!F9*0.3</f>
        <v>488.70851799548944</v>
      </c>
      <c r="G128" s="184">
        <f>'COSTO VARIABLE'!G9*0.3</f>
        <v>565.98938373818896</v>
      </c>
      <c r="H128" s="184">
        <f>'COSTO VARIABLE'!H9*0.3</f>
        <v>447.82856533012449</v>
      </c>
      <c r="I128" s="184">
        <f>'COSTO VARIABLE'!I9*0.3</f>
        <v>459.24102433088325</v>
      </c>
      <c r="J128" s="184">
        <f>'COSTO VARIABLE'!J9*0.3</f>
        <v>586.28520506708594</v>
      </c>
      <c r="K128" s="184">
        <f>'COSTO VARIABLE'!K9*0.3</f>
        <v>619.91515300423316</v>
      </c>
      <c r="L128" s="184">
        <f>'COSTO VARIABLE'!L9*0.3</f>
        <v>657.72649990492607</v>
      </c>
      <c r="M128" s="184">
        <f>'COSTO VARIABLE'!M9*0.3</f>
        <v>676.00126725810264</v>
      </c>
      <c r="N128" s="184">
        <f>'COSTO VARIABLE'!N9*0.3</f>
        <v>642.72947200613669</v>
      </c>
      <c r="O128" s="184">
        <f>'COSTO VARIABLE'!O9*0.3</f>
        <v>621.9875178090623</v>
      </c>
      <c r="P128" s="184">
        <f>'COSTO VARIABLE'!P9*0.3</f>
        <v>561.0837510121595</v>
      </c>
      <c r="Q128" s="184">
        <f>'COSTO VARIABLE'!Q9*0.3</f>
        <v>793.76636536633316</v>
      </c>
      <c r="R128" s="184">
        <f>'COSTO VARIABLE'!R9*0.3</f>
        <v>719.01781926544243</v>
      </c>
      <c r="S128" s="184">
        <f>'COSTO VARIABLE'!S9*0.3</f>
        <v>581.06117274473763</v>
      </c>
      <c r="T128" s="184">
        <f>'COSTO VARIABLE'!T9*0.3</f>
        <v>480.05582047002963</v>
      </c>
      <c r="U128" s="184">
        <f>'COSTO VARIABLE'!U9*0.3</f>
        <v>470.64853078770602</v>
      </c>
      <c r="V128" s="184">
        <f>'COSTO VARIABLE'!V9*0.3</f>
        <v>558.88403876550353</v>
      </c>
      <c r="W128" s="184">
        <f>'COSTO VARIABLE'!W9*0.3</f>
        <v>635.34202799520108</v>
      </c>
      <c r="X128" s="184">
        <f>'COSTO VARIABLE'!X9*0.3</f>
        <v>660.05778548111221</v>
      </c>
      <c r="Y128" s="184">
        <f>'COSTO VARIABLE'!Y9*0.3</f>
        <v>706.20655515782903</v>
      </c>
      <c r="Z128" s="184">
        <f>'COSTO VARIABLE'!Z9*0.3</f>
        <v>661.61255071716732</v>
      </c>
      <c r="AA128" s="184">
        <f>'COSTO VARIABLE'!AA9*0.3</f>
        <v>590.44408736178548</v>
      </c>
      <c r="AB128" s="184">
        <f>'COSTO VARIABLE'!AB9*0.3</f>
        <v>569.1370632924901</v>
      </c>
      <c r="AC128" s="184">
        <f>'COSTO VARIABLE'!AC9*0.3</f>
        <v>846.28899161426216</v>
      </c>
      <c r="AD128" s="184">
        <f>'COSTO VARIABLE'!AD9*0.3</f>
        <v>760.12512173375217</v>
      </c>
      <c r="AE128" s="184">
        <f>'COSTO VARIABLE'!AE9*0.3</f>
        <v>617.78645343500341</v>
      </c>
      <c r="AF128" s="184">
        <f>'COSTO VARIABLE'!AF9*0.3</f>
        <v>513.65972790293176</v>
      </c>
      <c r="AG128" s="184">
        <f>'COSTO VARIABLE'!AG9*0.3</f>
        <v>503.59392794284548</v>
      </c>
      <c r="AH128" s="184">
        <f>'COSTO VARIABLE'!AH9*0.3</f>
        <v>598.00592147908878</v>
      </c>
      <c r="AI128" s="184">
        <f>'COSTO VARIABLE'!AI9*0.3</f>
        <v>679.8159699548653</v>
      </c>
      <c r="AJ128" s="184">
        <f>'COSTO VARIABLE'!AJ9*0.3</f>
        <v>706.26183046479014</v>
      </c>
      <c r="AK128" s="184">
        <f>'COSTO VARIABLE'!AK9*0.3</f>
        <v>755.64101401887706</v>
      </c>
      <c r="AL128" s="184">
        <f>'COSTO VARIABLE'!AL9*0.3</f>
        <v>707.92542926736917</v>
      </c>
      <c r="AM128" s="184">
        <f>'COSTO VARIABLE'!AM9*0.3</f>
        <v>631.77517347711057</v>
      </c>
      <c r="AN128" s="184">
        <f>'COSTO VARIABLE'!AN9*0.3</f>
        <v>608.97665772296432</v>
      </c>
      <c r="AO128" s="184">
        <f>'COSTO VARIABLE'!AO9*0.3</f>
        <v>905.52922102726052</v>
      </c>
      <c r="AP128" s="184">
        <f>'COSTO VARIABLE'!AP9*0.3</f>
        <v>813.33388025511488</v>
      </c>
      <c r="AQ128" s="184">
        <f>'COSTO VARIABLE'!AQ9*0.3</f>
        <v>661.03150517545362</v>
      </c>
      <c r="AR128" s="184">
        <f>'COSTO VARIABLE'!AR9*0.3</f>
        <v>549.61590885613703</v>
      </c>
      <c r="AS128" s="184">
        <f>'COSTO VARIABLE'!AS9*0.3</f>
        <v>538.84550289884476</v>
      </c>
      <c r="AT128" s="184">
        <f>'COSTO VARIABLE'!AT9*0.3</f>
        <v>639.86633598262517</v>
      </c>
      <c r="AU128" s="184">
        <f>'COSTO VARIABLE'!AU9*0.3</f>
        <v>727.403087851706</v>
      </c>
      <c r="AV128" s="184">
        <f>'COSTO VARIABLE'!AV9*0.3</f>
        <v>755.70015859732541</v>
      </c>
      <c r="AW128" s="184">
        <f>'COSTO VARIABLE'!AW9*0.3</f>
        <v>808.5358850001985</v>
      </c>
      <c r="AX128" s="184">
        <f>'COSTO VARIABLE'!AX9*0.3</f>
        <v>757.48020931608517</v>
      </c>
      <c r="AY128" s="184">
        <f>'COSTO VARIABLE'!AY9*0.3</f>
        <v>675.99943562050828</v>
      </c>
      <c r="AZ128" s="184">
        <f>'COSTO VARIABLE'!AZ9*0.3</f>
        <v>651.60502376357204</v>
      </c>
      <c r="BA128" s="184">
        <f>'COSTO VARIABLE'!BA9*0.3</f>
        <v>968.91626649916884</v>
      </c>
      <c r="BB128" s="184">
        <f>'COSTO VARIABLE'!BB9*0.3</f>
        <v>870.26725187297313</v>
      </c>
      <c r="BC128" s="184">
        <f>'COSTO VARIABLE'!BC9*0.3</f>
        <v>707.30371053773547</v>
      </c>
      <c r="BD128" s="184">
        <f>'COSTO VARIABLE'!BD9*0.3</f>
        <v>588.08902247606659</v>
      </c>
      <c r="BE128" s="184">
        <f>'COSTO VARIABLE'!BE9*0.3</f>
        <v>576.56468810176386</v>
      </c>
      <c r="BF128" s="184">
        <f>'COSTO VARIABLE'!BF9*0.3</f>
        <v>684.65697950140896</v>
      </c>
      <c r="BG128" s="184">
        <f>'COSTO VARIABLE'!BG9*0.3</f>
        <v>778.3213040013253</v>
      </c>
      <c r="BH128" s="184">
        <f>'COSTO VARIABLE'!BH9*0.3</f>
        <v>808.59916969913843</v>
      </c>
      <c r="BI128" s="184">
        <f>'COSTO VARIABLE'!BI9*0.3</f>
        <v>865.1333969502125</v>
      </c>
      <c r="BJ128" s="184">
        <f>'COSTO VARIABLE'!BJ9*0.3</f>
        <v>810.5038239682109</v>
      </c>
      <c r="BK128" s="184">
        <f>'COSTO VARIABLE'!BK9*0.3</f>
        <v>723.31939611394409</v>
      </c>
      <c r="BL128" s="184">
        <f>'COSTO VARIABLE'!BL9*0.3</f>
        <v>697.21737542702203</v>
      </c>
      <c r="BM128" s="184">
        <f>'COSTO VARIABLE'!BM9*0.3</f>
        <v>1036.7404051541105</v>
      </c>
      <c r="BN128" s="184">
        <f>'COSTO VARIABLE'!BN9*0.3</f>
        <v>931.18595950408121</v>
      </c>
      <c r="BO128" s="184">
        <f>'COSTO VARIABLE'!BO9*0.3</f>
        <v>756.81497027537694</v>
      </c>
      <c r="BP128" s="184">
        <f>'COSTO VARIABLE'!BP9*0.3</f>
        <v>629.2552540493914</v>
      </c>
      <c r="BQ128" s="184">
        <f>'COSTO VARIABLE'!BQ9*0.3</f>
        <v>616.92421626888745</v>
      </c>
      <c r="BR128" s="184">
        <f>'COSTO VARIABLE'!BR9*0.3</f>
        <v>732.58296806650765</v>
      </c>
      <c r="BS128" s="184">
        <f>'COSTO VARIABLE'!BS9*0.3</f>
        <v>832.80379528141827</v>
      </c>
      <c r="BT128" s="184">
        <f>'COSTO VARIABLE'!BT9*0.3</f>
        <v>865.20111157807833</v>
      </c>
      <c r="BU128" s="184">
        <f>'COSTO VARIABLE'!BU9*0.3</f>
        <v>925.6927347367274</v>
      </c>
      <c r="BV128" s="184">
        <f>'COSTO VARIABLE'!BV9*0.3</f>
        <v>867.23909164598592</v>
      </c>
      <c r="BW128" s="184">
        <f>'COSTO VARIABLE'!BW9*0.3</f>
        <v>773.95175384192032</v>
      </c>
      <c r="BX128" s="184">
        <f>'COSTO VARIABLE'!BX9*0.3</f>
        <v>746.02259170691377</v>
      </c>
      <c r="BY128" s="184">
        <f>'COSTO VARIABLE'!BY9*0.3</f>
        <v>1109.3122335148985</v>
      </c>
      <c r="BZ128" s="184">
        <f>'COSTO VARIABLE'!BZ9*0.3</f>
        <v>996.36897666936704</v>
      </c>
      <c r="CA128" s="184">
        <f>'COSTO VARIABLE'!CA9*0.3</f>
        <v>809.79201819465345</v>
      </c>
      <c r="CB128" s="184">
        <f>'COSTO VARIABLE'!CB9*0.3</f>
        <v>673.30312183284877</v>
      </c>
      <c r="CC128" s="184">
        <f>'COSTO VARIABLE'!CC9*0.3</f>
        <v>660.10891140770957</v>
      </c>
      <c r="CD128" s="184">
        <f>'COSTO VARIABLE'!CD9*0.3</f>
        <v>783.86377583116337</v>
      </c>
      <c r="CE128" s="184">
        <f>'COSTO VARIABLE'!CE9*0.3</f>
        <v>891.1000609511176</v>
      </c>
      <c r="CF128" s="184">
        <f>'COSTO VARIABLE'!CF9*0.3</f>
        <v>925.76518938854383</v>
      </c>
      <c r="CG128" s="184">
        <f>'COSTO VARIABLE'!CG9*0.3</f>
        <v>990.49122616829845</v>
      </c>
      <c r="CH128" s="184">
        <f>'COSTO VARIABLE'!CH9*0.3</f>
        <v>927.94582806120502</v>
      </c>
      <c r="CI128" s="184">
        <f>'COSTO VARIABLE'!CI9*0.3</f>
        <v>828.12837661085462</v>
      </c>
      <c r="CJ128" s="184">
        <f>'COSTO VARIABLE'!CJ9*0.3</f>
        <v>798.24417312639775</v>
      </c>
      <c r="CK128" s="184">
        <f>'COSTO VARIABLE'!CK9*0.3</f>
        <v>1186.9640898609414</v>
      </c>
      <c r="CL128" s="184">
        <f>'COSTO VARIABLE'!CL9*0.3</f>
        <v>1066.1148050362228</v>
      </c>
      <c r="CM128" s="184">
        <f>'COSTO VARIABLE'!CM9*0.3</f>
        <v>866.47745946827933</v>
      </c>
      <c r="CN128" s="184">
        <f>'COSTO VARIABLE'!CN9*0.3</f>
        <v>720.43434036114843</v>
      </c>
      <c r="CO128" s="184">
        <f>'COSTO VARIABLE'!CO9*0.3</f>
        <v>706.31653520624934</v>
      </c>
      <c r="CP128" s="184">
        <f>'COSTO VARIABLE'!CP9*0.3</f>
        <v>838.73424013934471</v>
      </c>
      <c r="CQ128" s="184">
        <f>'COSTO VARIABLE'!CQ9*0.3</f>
        <v>953.47706521769578</v>
      </c>
      <c r="CR128" s="184">
        <f>'COSTO VARIABLE'!CR9*0.3</f>
        <v>990.56875264574182</v>
      </c>
      <c r="CS128" s="184">
        <f>'COSTO VARIABLE'!CS9*0.3</f>
        <v>1059.8256120000794</v>
      </c>
      <c r="CT128" s="184">
        <f>'COSTO VARIABLE'!CT9*0.3</f>
        <v>992.90203602548922</v>
      </c>
      <c r="CU128" s="184">
        <f>'COSTO VARIABLE'!CU9*0.3</f>
        <v>886.09736297361462</v>
      </c>
      <c r="CV128" s="184">
        <f>'COSTO VARIABLE'!CV9*0.3</f>
        <v>854.12126524524558</v>
      </c>
      <c r="CW128" s="184">
        <f>'COSTO VARIABLE'!CW9*0.3</f>
        <v>1270.0515761512074</v>
      </c>
      <c r="CX128" s="184">
        <f>'COSTO VARIABLE'!CX9*0.3</f>
        <v>1140.7428413887583</v>
      </c>
      <c r="CY128" s="184">
        <f>'COSTO VARIABLE'!CY9*0.3</f>
        <v>927.13088163105863</v>
      </c>
      <c r="CZ128" s="184">
        <f>'COSTO VARIABLE'!CZ9*0.3</f>
        <v>770.86474418642877</v>
      </c>
      <c r="DA128" s="184">
        <f>'COSTO VARIABLE'!DA9*0.3</f>
        <v>755.75869267068674</v>
      </c>
      <c r="DB128" s="184">
        <f>'COSTO VARIABLE'!DB9*0.3</f>
        <v>897.4456369490988</v>
      </c>
      <c r="DC128" s="184">
        <f>'COSTO VARIABLE'!DC9*0.3</f>
        <v>1020.2204597829345</v>
      </c>
      <c r="DD128" s="184">
        <f>'COSTO VARIABLE'!DD9*0.3</f>
        <v>1059.9085653309437</v>
      </c>
      <c r="DE128" s="184">
        <f>'COSTO VARIABLE'!DE9*0.3</f>
        <v>1134.0134048400848</v>
      </c>
      <c r="DF128" s="184">
        <f>'COSTO VARIABLE'!DF9*0.3</f>
        <v>1062.4051785472736</v>
      </c>
      <c r="DG128" s="184">
        <f>'COSTO VARIABLE'!DG9*0.3</f>
        <v>948.12417838176748</v>
      </c>
      <c r="DH128" s="184">
        <f>'COSTO VARIABLE'!DH9*0.3</f>
        <v>913.90975381241299</v>
      </c>
      <c r="DI128" s="184">
        <f>'COSTO VARIABLE'!DI9*0.3</f>
        <v>1358.955186481792</v>
      </c>
      <c r="DJ128" s="184">
        <f>'COSTO VARIABLE'!DJ9*0.3</f>
        <v>1220.5948402859713</v>
      </c>
      <c r="DK128" s="184">
        <f>'COSTO VARIABLE'!DK9*0.3</f>
        <v>992.03004334523291</v>
      </c>
      <c r="DL128" s="184">
        <f>'COSTO VARIABLE'!DL9*0.3</f>
        <v>824.82527627947866</v>
      </c>
      <c r="DM128" s="184">
        <f>'COSTO VARIABLE'!DM9*0.3</f>
        <v>808.66180115763473</v>
      </c>
      <c r="DN128" s="184">
        <f>'COSTO VARIABLE'!DN9*0.3</f>
        <v>960.26683153553586</v>
      </c>
      <c r="DO128" s="184">
        <f>'COSTO VARIABLE'!DO9*0.3</f>
        <v>1091.63589196774</v>
      </c>
      <c r="DP128" s="184">
        <f>'COSTO VARIABLE'!DP9*0.3</f>
        <v>1134.1021649041097</v>
      </c>
      <c r="DQ128" s="184">
        <f>'COSTO VARIABLE'!DQ9*0.3</f>
        <v>1213.3943431788909</v>
      </c>
      <c r="DR128" s="184">
        <f>'COSTO VARIABLE'!DR9*0.3</f>
        <v>1136.773541045583</v>
      </c>
      <c r="DS128" s="184">
        <f>'COSTO VARIABLE'!DS9*0.3</f>
        <v>1014.4928708684913</v>
      </c>
      <c r="DT128" s="184">
        <f>'COSTO VARIABLE'!DT9*0.3</f>
        <v>977.88343657928181</v>
      </c>
    </row>
    <row r="129" spans="1:124" x14ac:dyDescent="0.25">
      <c r="B129" s="832"/>
      <c r="C129" s="826"/>
      <c r="D129" s="438" t="s">
        <v>276</v>
      </c>
      <c r="E129" s="184">
        <f t="shared" ref="E129:AB129" si="145">SUM(E127:E128)</f>
        <v>1402.1418888542362</v>
      </c>
      <c r="F129" s="184">
        <f t="shared" si="145"/>
        <v>1488.7085179954895</v>
      </c>
      <c r="G129" s="184">
        <f t="shared" si="145"/>
        <v>1565.989383738189</v>
      </c>
      <c r="H129" s="184">
        <f t="shared" si="145"/>
        <v>1447.8285653301245</v>
      </c>
      <c r="I129" s="184">
        <f t="shared" si="145"/>
        <v>1459.2410243308832</v>
      </c>
      <c r="J129" s="184">
        <f t="shared" si="145"/>
        <v>1586.2852050670858</v>
      </c>
      <c r="K129" s="184">
        <f t="shared" si="145"/>
        <v>1619.9151530042332</v>
      </c>
      <c r="L129" s="184">
        <f t="shared" si="145"/>
        <v>1657.7264999049262</v>
      </c>
      <c r="M129" s="184">
        <f t="shared" si="145"/>
        <v>1676.0012672581026</v>
      </c>
      <c r="N129" s="184">
        <f t="shared" si="145"/>
        <v>1642.7294720061368</v>
      </c>
      <c r="O129" s="184">
        <f t="shared" si="145"/>
        <v>1621.9875178090624</v>
      </c>
      <c r="P129" s="184">
        <f t="shared" si="145"/>
        <v>1561.0837510121596</v>
      </c>
      <c r="Q129" s="184">
        <f>SUM(Q127:Q128)</f>
        <v>1793.766365366333</v>
      </c>
      <c r="R129" s="184">
        <f t="shared" si="145"/>
        <v>1719.0178192654425</v>
      </c>
      <c r="S129" s="184">
        <f t="shared" si="145"/>
        <v>1581.0611727447376</v>
      </c>
      <c r="T129" s="184">
        <f t="shared" si="145"/>
        <v>1480.0558204700296</v>
      </c>
      <c r="U129" s="184">
        <f t="shared" si="145"/>
        <v>1470.648530787706</v>
      </c>
      <c r="V129" s="184">
        <f t="shared" si="145"/>
        <v>1558.8840387655036</v>
      </c>
      <c r="W129" s="184">
        <f t="shared" si="145"/>
        <v>1635.3420279952011</v>
      </c>
      <c r="X129" s="184">
        <f t="shared" si="145"/>
        <v>1660.0577854811122</v>
      </c>
      <c r="Y129" s="184">
        <f t="shared" si="145"/>
        <v>1706.2065551578289</v>
      </c>
      <c r="Z129" s="184">
        <f t="shared" si="145"/>
        <v>1661.6125507171673</v>
      </c>
      <c r="AA129" s="184">
        <f t="shared" si="145"/>
        <v>1590.4440873617855</v>
      </c>
      <c r="AB129" s="184">
        <f t="shared" si="145"/>
        <v>1569.13706329249</v>
      </c>
      <c r="AC129" s="184">
        <f>SUM(AC127:AC128)</f>
        <v>1846.2889916142622</v>
      </c>
      <c r="AD129" s="184">
        <f t="shared" ref="AD129:AN129" si="146">SUM(AD127:AD128)</f>
        <v>1760.1251217337522</v>
      </c>
      <c r="AE129" s="184">
        <f t="shared" si="146"/>
        <v>1617.7864534350033</v>
      </c>
      <c r="AF129" s="184">
        <f t="shared" si="146"/>
        <v>1513.6597279029318</v>
      </c>
      <c r="AG129" s="184">
        <f t="shared" si="146"/>
        <v>1503.5939279428455</v>
      </c>
      <c r="AH129" s="184">
        <f t="shared" si="146"/>
        <v>1598.0059214790888</v>
      </c>
      <c r="AI129" s="184">
        <f t="shared" si="146"/>
        <v>1679.8159699548653</v>
      </c>
      <c r="AJ129" s="184">
        <f t="shared" si="146"/>
        <v>1706.2618304647901</v>
      </c>
      <c r="AK129" s="184">
        <f t="shared" si="146"/>
        <v>1755.6410140188771</v>
      </c>
      <c r="AL129" s="184">
        <f t="shared" si="146"/>
        <v>1707.9254292673691</v>
      </c>
      <c r="AM129" s="184">
        <f t="shared" si="146"/>
        <v>1631.7751734771105</v>
      </c>
      <c r="AN129" s="184">
        <f t="shared" si="146"/>
        <v>1608.9766577229643</v>
      </c>
      <c r="AO129" s="184">
        <f>SUM(AO127:AO128)</f>
        <v>1905.5292210272605</v>
      </c>
      <c r="AP129" s="184">
        <f t="shared" ref="AP129:AZ129" si="147">SUM(AP127:AP128)</f>
        <v>1813.3338802551148</v>
      </c>
      <c r="AQ129" s="184">
        <f t="shared" si="147"/>
        <v>1661.0315051754537</v>
      </c>
      <c r="AR129" s="184">
        <f t="shared" si="147"/>
        <v>1549.6159088561371</v>
      </c>
      <c r="AS129" s="184">
        <f t="shared" si="147"/>
        <v>1538.8455028988446</v>
      </c>
      <c r="AT129" s="184">
        <f t="shared" si="147"/>
        <v>1639.8663359826251</v>
      </c>
      <c r="AU129" s="184">
        <f t="shared" si="147"/>
        <v>1727.403087851706</v>
      </c>
      <c r="AV129" s="184">
        <f t="shared" si="147"/>
        <v>1755.7001585973253</v>
      </c>
      <c r="AW129" s="184">
        <f t="shared" si="147"/>
        <v>1808.5358850001985</v>
      </c>
      <c r="AX129" s="184">
        <f t="shared" si="147"/>
        <v>1757.4802093160852</v>
      </c>
      <c r="AY129" s="184">
        <f t="shared" si="147"/>
        <v>1675.9994356205084</v>
      </c>
      <c r="AZ129" s="184">
        <f t="shared" si="147"/>
        <v>1651.605023763572</v>
      </c>
      <c r="BA129" s="184">
        <f>SUM(BA127:BA128)</f>
        <v>1968.9162664991688</v>
      </c>
      <c r="BB129" s="184">
        <f t="shared" ref="BB129:BL129" si="148">SUM(BB127:BB128)</f>
        <v>1870.2672518729732</v>
      </c>
      <c r="BC129" s="184">
        <f t="shared" si="148"/>
        <v>1707.3037105377355</v>
      </c>
      <c r="BD129" s="184">
        <f t="shared" si="148"/>
        <v>1588.0890224760665</v>
      </c>
      <c r="BE129" s="184">
        <f t="shared" si="148"/>
        <v>1576.5646881017637</v>
      </c>
      <c r="BF129" s="184">
        <f t="shared" si="148"/>
        <v>1684.6569795014088</v>
      </c>
      <c r="BG129" s="184">
        <f t="shared" si="148"/>
        <v>1778.3213040013252</v>
      </c>
      <c r="BH129" s="184">
        <f t="shared" si="148"/>
        <v>1808.5991696991384</v>
      </c>
      <c r="BI129" s="184">
        <f t="shared" si="148"/>
        <v>1865.1333969502125</v>
      </c>
      <c r="BJ129" s="184">
        <f t="shared" si="148"/>
        <v>1810.5038239682108</v>
      </c>
      <c r="BK129" s="184">
        <f t="shared" si="148"/>
        <v>1723.3193961139441</v>
      </c>
      <c r="BL129" s="184">
        <f t="shared" si="148"/>
        <v>1697.217375427022</v>
      </c>
      <c r="BM129" s="184">
        <f>SUM(BM127:BM128)</f>
        <v>2036.7404051541105</v>
      </c>
      <c r="BN129" s="184">
        <f t="shared" ref="BN129:BX129" si="149">SUM(BN127:BN128)</f>
        <v>1931.1859595040812</v>
      </c>
      <c r="BO129" s="184">
        <f t="shared" si="149"/>
        <v>1756.8149702753769</v>
      </c>
      <c r="BP129" s="184">
        <f t="shared" si="149"/>
        <v>1629.2552540493914</v>
      </c>
      <c r="BQ129" s="184">
        <f t="shared" si="149"/>
        <v>1616.9242162688874</v>
      </c>
      <c r="BR129" s="184">
        <f t="shared" si="149"/>
        <v>1732.5829680665076</v>
      </c>
      <c r="BS129" s="184">
        <f t="shared" si="149"/>
        <v>1832.8037952814184</v>
      </c>
      <c r="BT129" s="184">
        <f t="shared" si="149"/>
        <v>1865.2011115780783</v>
      </c>
      <c r="BU129" s="184">
        <f t="shared" si="149"/>
        <v>1925.6927347367273</v>
      </c>
      <c r="BV129" s="184">
        <f t="shared" si="149"/>
        <v>1867.2390916459858</v>
      </c>
      <c r="BW129" s="184">
        <f t="shared" si="149"/>
        <v>1773.9517538419204</v>
      </c>
      <c r="BX129" s="184">
        <f t="shared" si="149"/>
        <v>1746.0225917069138</v>
      </c>
      <c r="BY129" s="184">
        <f>SUM(BY127:BY128)</f>
        <v>2109.3122335148983</v>
      </c>
      <c r="BZ129" s="184">
        <f t="shared" ref="BZ129:CJ129" si="150">SUM(BZ127:BZ128)</f>
        <v>1996.3689766693669</v>
      </c>
      <c r="CA129" s="184">
        <f t="shared" si="150"/>
        <v>1809.7920181946533</v>
      </c>
      <c r="CB129" s="184">
        <f t="shared" si="150"/>
        <v>1673.3031218328488</v>
      </c>
      <c r="CC129" s="184">
        <f t="shared" si="150"/>
        <v>1660.1089114077095</v>
      </c>
      <c r="CD129" s="184">
        <f t="shared" si="150"/>
        <v>1783.8637758311634</v>
      </c>
      <c r="CE129" s="184">
        <f t="shared" si="150"/>
        <v>1891.1000609511175</v>
      </c>
      <c r="CF129" s="184">
        <f t="shared" si="150"/>
        <v>1925.7651893885438</v>
      </c>
      <c r="CG129" s="184">
        <f t="shared" si="150"/>
        <v>1990.4912261682985</v>
      </c>
      <c r="CH129" s="184">
        <f t="shared" si="150"/>
        <v>1927.945828061205</v>
      </c>
      <c r="CI129" s="184">
        <f t="shared" si="150"/>
        <v>1828.1283766108545</v>
      </c>
      <c r="CJ129" s="184">
        <f t="shared" si="150"/>
        <v>1798.2441731263978</v>
      </c>
      <c r="CK129" s="184">
        <f>SUM(CK127:CK128)</f>
        <v>2186.9640898609414</v>
      </c>
      <c r="CL129" s="184">
        <f t="shared" ref="CL129:CV129" si="151">SUM(CL127:CL128)</f>
        <v>2066.1148050362226</v>
      </c>
      <c r="CM129" s="184">
        <f t="shared" si="151"/>
        <v>1866.4774594682794</v>
      </c>
      <c r="CN129" s="184">
        <f t="shared" si="151"/>
        <v>1720.4343403611483</v>
      </c>
      <c r="CO129" s="184">
        <f t="shared" si="151"/>
        <v>1706.3165352062492</v>
      </c>
      <c r="CP129" s="184">
        <f t="shared" si="151"/>
        <v>1838.7342401393448</v>
      </c>
      <c r="CQ129" s="184">
        <f t="shared" si="151"/>
        <v>1953.4770652176958</v>
      </c>
      <c r="CR129" s="184">
        <f t="shared" si="151"/>
        <v>1990.5687526457418</v>
      </c>
      <c r="CS129" s="184">
        <f t="shared" si="151"/>
        <v>2059.8256120000797</v>
      </c>
      <c r="CT129" s="184">
        <f t="shared" si="151"/>
        <v>1992.9020360254892</v>
      </c>
      <c r="CU129" s="184">
        <f t="shared" si="151"/>
        <v>1886.0973629736145</v>
      </c>
      <c r="CV129" s="184">
        <f t="shared" si="151"/>
        <v>1854.1212652452455</v>
      </c>
      <c r="CW129" s="184">
        <f>SUM(CW127:CW128)</f>
        <v>2270.0515761512074</v>
      </c>
      <c r="CX129" s="184">
        <f t="shared" ref="CX129:DH129" si="152">SUM(CX127:CX128)</f>
        <v>2140.7428413887583</v>
      </c>
      <c r="CY129" s="184">
        <f t="shared" si="152"/>
        <v>1927.1308816310586</v>
      </c>
      <c r="CZ129" s="184">
        <f t="shared" si="152"/>
        <v>1770.8647441864287</v>
      </c>
      <c r="DA129" s="184">
        <f t="shared" si="152"/>
        <v>1755.7586926706867</v>
      </c>
      <c r="DB129" s="184">
        <f t="shared" si="152"/>
        <v>1897.4456369490988</v>
      </c>
      <c r="DC129" s="184">
        <f t="shared" si="152"/>
        <v>2020.2204597829345</v>
      </c>
      <c r="DD129" s="184">
        <f t="shared" si="152"/>
        <v>2059.9085653309439</v>
      </c>
      <c r="DE129" s="184">
        <f t="shared" si="152"/>
        <v>2134.0134048400851</v>
      </c>
      <c r="DF129" s="184">
        <f t="shared" si="152"/>
        <v>2062.4051785472739</v>
      </c>
      <c r="DG129" s="184">
        <f t="shared" si="152"/>
        <v>1948.1241783817675</v>
      </c>
      <c r="DH129" s="184">
        <f t="shared" si="152"/>
        <v>1913.9097538124129</v>
      </c>
      <c r="DI129" s="184">
        <f>SUM(DI127:DI128)</f>
        <v>2358.9551864817922</v>
      </c>
      <c r="DJ129" s="184">
        <f t="shared" ref="DJ129:DT129" si="153">SUM(DJ127:DJ128)</f>
        <v>2220.5948402859713</v>
      </c>
      <c r="DK129" s="184">
        <f t="shared" si="153"/>
        <v>1992.030043345233</v>
      </c>
      <c r="DL129" s="184">
        <f t="shared" si="153"/>
        <v>1824.8252762794787</v>
      </c>
      <c r="DM129" s="184">
        <f t="shared" si="153"/>
        <v>1808.6618011576347</v>
      </c>
      <c r="DN129" s="184">
        <f t="shared" si="153"/>
        <v>1960.2668315355359</v>
      </c>
      <c r="DO129" s="184">
        <f t="shared" si="153"/>
        <v>2091.63589196774</v>
      </c>
      <c r="DP129" s="184">
        <f t="shared" si="153"/>
        <v>2134.1021649041095</v>
      </c>
      <c r="DQ129" s="184">
        <f t="shared" si="153"/>
        <v>2213.3943431788912</v>
      </c>
      <c r="DR129" s="184">
        <f t="shared" si="153"/>
        <v>2136.773541045583</v>
      </c>
      <c r="DS129" s="184">
        <f t="shared" si="153"/>
        <v>2014.4928708684913</v>
      </c>
      <c r="DT129" s="184">
        <f t="shared" si="153"/>
        <v>1977.8834365792818</v>
      </c>
    </row>
    <row r="130" spans="1:124" x14ac:dyDescent="0.25">
      <c r="B130" s="832"/>
      <c r="C130" s="826"/>
      <c r="D130" s="438" t="s">
        <v>270</v>
      </c>
      <c r="E130" s="184"/>
      <c r="F130" s="184"/>
      <c r="G130" s="184"/>
      <c r="H130" s="184"/>
      <c r="I130" s="184"/>
      <c r="J130" s="184"/>
      <c r="K130" s="184">
        <f>(J127/2)+AVERAGE(E128:J128)</f>
        <v>991.69909755266804</v>
      </c>
      <c r="L130" s="184"/>
      <c r="M130" s="184"/>
      <c r="N130" s="184"/>
      <c r="O130" s="184"/>
      <c r="P130" s="184">
        <f>(O127/2)+AVERAGE(K128:P128)</f>
        <v>1129.9072768324368</v>
      </c>
      <c r="Q130" s="184"/>
      <c r="R130" s="184"/>
      <c r="S130" s="184"/>
      <c r="T130" s="184"/>
      <c r="U130" s="184"/>
      <c r="V130" s="184"/>
      <c r="W130" s="184">
        <f>(V127/2)+AVERAGE(Q128:V128)</f>
        <v>1100.5722912332922</v>
      </c>
      <c r="X130" s="184"/>
      <c r="Y130" s="184"/>
      <c r="Z130" s="184"/>
      <c r="AA130" s="184"/>
      <c r="AB130" s="184">
        <f>(AA127/2)+AVERAGE(W128:AB128)</f>
        <v>1137.1333450009308</v>
      </c>
      <c r="AC130" s="184"/>
      <c r="AD130" s="184"/>
      <c r="AE130" s="184"/>
      <c r="AF130" s="184"/>
      <c r="AG130" s="184"/>
      <c r="AH130" s="184"/>
      <c r="AI130" s="184">
        <f>(AH127/2)+AVERAGE(AC128:AH128)</f>
        <v>1139.9100240179805</v>
      </c>
      <c r="AJ130" s="184"/>
      <c r="AK130" s="184"/>
      <c r="AL130" s="184"/>
      <c r="AM130" s="184"/>
      <c r="AN130" s="184">
        <f>(AM127/2)+AVERAGE(AI128:AN128)</f>
        <v>1181.7326791509961</v>
      </c>
      <c r="AO130" s="184"/>
      <c r="AP130" s="184"/>
      <c r="AQ130" s="184"/>
      <c r="AR130" s="184"/>
      <c r="AS130" s="184"/>
      <c r="AT130" s="184"/>
      <c r="AU130" s="184">
        <f>(AT127/2)+AVERAGE(AO128:AT128)</f>
        <v>1184.7037256992394</v>
      </c>
      <c r="AV130" s="184"/>
      <c r="AW130" s="184"/>
      <c r="AX130" s="184"/>
      <c r="AY130" s="184"/>
      <c r="AZ130" s="184">
        <f>(AY127/2)+AVERAGE(AU128:AZ128)</f>
        <v>1229.4539666915657</v>
      </c>
      <c r="BA130" s="184"/>
      <c r="BB130" s="184"/>
      <c r="BC130" s="184"/>
      <c r="BD130" s="184"/>
      <c r="BE130" s="184"/>
      <c r="BF130" s="184"/>
      <c r="BG130" s="184">
        <f>(BF127/2)+AVERAGE(BA128:BF128)</f>
        <v>1232.6329864981863</v>
      </c>
      <c r="BH130" s="184"/>
      <c r="BI130" s="184"/>
      <c r="BJ130" s="184"/>
      <c r="BK130" s="184"/>
      <c r="BL130" s="184">
        <f>(BK127/2)+AVERAGE(BG128:BL128)</f>
        <v>1280.5157443599755</v>
      </c>
      <c r="BM130" s="184"/>
      <c r="BN130" s="184"/>
      <c r="BO130" s="184"/>
      <c r="BP130" s="184"/>
      <c r="BQ130" s="184"/>
      <c r="BR130" s="184"/>
      <c r="BS130" s="184">
        <f>(BR127/2)+AVERAGE(BM128:BR128)</f>
        <v>1283.9172955530594</v>
      </c>
      <c r="BT130" s="184"/>
      <c r="BU130" s="184"/>
      <c r="BV130" s="184"/>
      <c r="BW130" s="184"/>
      <c r="BX130" s="184">
        <f>(BW127/2)+AVERAGE(BS128:BX128)</f>
        <v>1335.151846465174</v>
      </c>
      <c r="BY130" s="184"/>
      <c r="BZ130" s="184"/>
      <c r="CA130" s="184"/>
      <c r="CB130" s="184"/>
      <c r="CC130" s="184"/>
      <c r="CD130" s="184"/>
      <c r="CE130" s="184">
        <f>(CD127/2)+AVERAGE(BY128:CD128)</f>
        <v>1338.7915062417733</v>
      </c>
      <c r="CF130" s="184"/>
      <c r="CG130" s="184"/>
      <c r="CH130" s="184"/>
      <c r="CI130" s="184"/>
      <c r="CJ130" s="184">
        <f>(CI127/2)+AVERAGE(CE128:CJ128)</f>
        <v>1393.6124757177363</v>
      </c>
      <c r="CK130" s="184"/>
      <c r="CL130" s="184"/>
      <c r="CM130" s="184"/>
      <c r="CN130" s="184"/>
      <c r="CO130" s="184"/>
      <c r="CP130" s="184"/>
      <c r="CQ130" s="184">
        <f>(CP127/2)+AVERAGE(CK128:CP128)</f>
        <v>1397.5069116786976</v>
      </c>
      <c r="CR130" s="184"/>
      <c r="CS130" s="184"/>
      <c r="CT130" s="184"/>
      <c r="CU130" s="184"/>
      <c r="CV130" s="184">
        <f>(CU127/2)+AVERAGE(CQ128:CV128)</f>
        <v>1456.1653490179779</v>
      </c>
      <c r="CW130" s="184"/>
      <c r="CX130" s="184"/>
      <c r="CY130" s="184"/>
      <c r="CZ130" s="184"/>
      <c r="DA130" s="184"/>
      <c r="DB130" s="184"/>
      <c r="DC130" s="184">
        <f>(DB127/2)+AVERAGE(CW128:DB128)</f>
        <v>1460.3323954962066</v>
      </c>
      <c r="DD130" s="184"/>
      <c r="DE130" s="184"/>
      <c r="DF130" s="184"/>
      <c r="DG130" s="184"/>
      <c r="DH130" s="184">
        <f>(DG127/2)+AVERAGE(DC128:DH128)</f>
        <v>1523.0969234492363</v>
      </c>
      <c r="DI130" s="184"/>
      <c r="DJ130" s="184"/>
      <c r="DK130" s="184"/>
      <c r="DL130" s="184"/>
      <c r="DM130" s="184"/>
      <c r="DN130" s="184"/>
      <c r="DO130" s="184">
        <f>(DN127/2)+AVERAGE(DI128:DN128)</f>
        <v>1527.5556631809411</v>
      </c>
      <c r="DP130" s="184"/>
      <c r="DQ130" s="184"/>
      <c r="DR130" s="184"/>
      <c r="DS130" s="184"/>
      <c r="DT130" s="184">
        <f>(DS127/2)+AVERAGE(DO128:DT128)</f>
        <v>1594.7137080906828</v>
      </c>
    </row>
    <row r="131" spans="1:124" x14ac:dyDescent="0.25">
      <c r="B131" s="832"/>
      <c r="C131" s="826"/>
      <c r="D131" s="438" t="s">
        <v>272</v>
      </c>
      <c r="E131" s="184">
        <f>E129*9%</f>
        <v>126.19276999688125</v>
      </c>
      <c r="F131" s="184">
        <f t="shared" ref="F131:BQ131" si="154">F129*9%</f>
        <v>133.98376661959406</v>
      </c>
      <c r="G131" s="184">
        <f t="shared" si="154"/>
        <v>140.939044536437</v>
      </c>
      <c r="H131" s="184">
        <f t="shared" si="154"/>
        <v>130.30457087971121</v>
      </c>
      <c r="I131" s="184">
        <f t="shared" si="154"/>
        <v>131.33169218977949</v>
      </c>
      <c r="J131" s="184">
        <f t="shared" si="154"/>
        <v>142.76566845603773</v>
      </c>
      <c r="K131" s="184">
        <f t="shared" si="154"/>
        <v>145.79236377038097</v>
      </c>
      <c r="L131" s="184">
        <f t="shared" si="154"/>
        <v>149.19538499144335</v>
      </c>
      <c r="M131" s="184">
        <f t="shared" si="154"/>
        <v>150.84011405322923</v>
      </c>
      <c r="N131" s="184">
        <f t="shared" si="154"/>
        <v>147.8456524805523</v>
      </c>
      <c r="O131" s="184">
        <f t="shared" si="154"/>
        <v>145.9788766028156</v>
      </c>
      <c r="P131" s="184">
        <f t="shared" si="154"/>
        <v>140.49753759109436</v>
      </c>
      <c r="Q131" s="184">
        <f t="shared" si="154"/>
        <v>161.43897288296998</v>
      </c>
      <c r="R131" s="184">
        <f t="shared" si="154"/>
        <v>154.71160373388983</v>
      </c>
      <c r="S131" s="184">
        <f t="shared" si="154"/>
        <v>142.29550554702638</v>
      </c>
      <c r="T131" s="184">
        <f t="shared" si="154"/>
        <v>133.20502384230267</v>
      </c>
      <c r="U131" s="184">
        <f t="shared" si="154"/>
        <v>132.35836777089355</v>
      </c>
      <c r="V131" s="184">
        <f t="shared" si="154"/>
        <v>140.29956348889533</v>
      </c>
      <c r="W131" s="184">
        <f t="shared" si="154"/>
        <v>147.18078251956808</v>
      </c>
      <c r="X131" s="184">
        <f t="shared" si="154"/>
        <v>149.40520069330009</v>
      </c>
      <c r="Y131" s="184">
        <f t="shared" si="154"/>
        <v>153.5585899642046</v>
      </c>
      <c r="Z131" s="184">
        <f t="shared" si="154"/>
        <v>149.54512956454505</v>
      </c>
      <c r="AA131" s="184">
        <f t="shared" si="154"/>
        <v>143.1399678625607</v>
      </c>
      <c r="AB131" s="184">
        <f t="shared" si="154"/>
        <v>141.22233569632408</v>
      </c>
      <c r="AC131" s="184">
        <f t="shared" si="154"/>
        <v>166.16600924528359</v>
      </c>
      <c r="AD131" s="184">
        <f t="shared" si="154"/>
        <v>158.41126095603769</v>
      </c>
      <c r="AE131" s="184">
        <f t="shared" si="154"/>
        <v>145.60078080915028</v>
      </c>
      <c r="AF131" s="184">
        <f t="shared" si="154"/>
        <v>136.22937551126387</v>
      </c>
      <c r="AG131" s="184">
        <f t="shared" si="154"/>
        <v>135.32345351485608</v>
      </c>
      <c r="AH131" s="184">
        <f t="shared" si="154"/>
        <v>143.82053293311799</v>
      </c>
      <c r="AI131" s="184">
        <f t="shared" si="154"/>
        <v>151.18343729593786</v>
      </c>
      <c r="AJ131" s="184">
        <f t="shared" si="154"/>
        <v>153.5635647418311</v>
      </c>
      <c r="AK131" s="184">
        <f t="shared" si="154"/>
        <v>158.00769126169894</v>
      </c>
      <c r="AL131" s="184">
        <f t="shared" si="154"/>
        <v>153.71328863406322</v>
      </c>
      <c r="AM131" s="184">
        <f t="shared" si="154"/>
        <v>146.85976561293992</v>
      </c>
      <c r="AN131" s="184">
        <f t="shared" si="154"/>
        <v>144.8078991950668</v>
      </c>
      <c r="AO131" s="184">
        <f t="shared" si="154"/>
        <v>171.49762989245343</v>
      </c>
      <c r="AP131" s="184">
        <f t="shared" si="154"/>
        <v>163.20004922296033</v>
      </c>
      <c r="AQ131" s="184">
        <f t="shared" si="154"/>
        <v>149.49283546579082</v>
      </c>
      <c r="AR131" s="184">
        <f t="shared" si="154"/>
        <v>139.46543179705233</v>
      </c>
      <c r="AS131" s="184">
        <f t="shared" si="154"/>
        <v>138.496095260896</v>
      </c>
      <c r="AT131" s="184">
        <f t="shared" si="154"/>
        <v>147.58797023843624</v>
      </c>
      <c r="AU131" s="184">
        <f t="shared" si="154"/>
        <v>155.46627790665354</v>
      </c>
      <c r="AV131" s="184">
        <f t="shared" si="154"/>
        <v>158.01301427375927</v>
      </c>
      <c r="AW131" s="184">
        <f t="shared" si="154"/>
        <v>162.76822965001787</v>
      </c>
      <c r="AX131" s="184">
        <f t="shared" si="154"/>
        <v>158.17321883844767</v>
      </c>
      <c r="AY131" s="184">
        <f t="shared" si="154"/>
        <v>150.83994920584576</v>
      </c>
      <c r="AZ131" s="184">
        <f t="shared" si="154"/>
        <v>148.64445213872148</v>
      </c>
      <c r="BA131" s="184">
        <f t="shared" si="154"/>
        <v>177.2024639849252</v>
      </c>
      <c r="BB131" s="184">
        <f t="shared" si="154"/>
        <v>168.32405266856759</v>
      </c>
      <c r="BC131" s="184">
        <f t="shared" si="154"/>
        <v>153.6573339483962</v>
      </c>
      <c r="BD131" s="184">
        <f t="shared" si="154"/>
        <v>142.92801202284599</v>
      </c>
      <c r="BE131" s="184">
        <f t="shared" si="154"/>
        <v>141.89082192915873</v>
      </c>
      <c r="BF131" s="184">
        <f t="shared" si="154"/>
        <v>151.61912815512679</v>
      </c>
      <c r="BG131" s="184">
        <f t="shared" si="154"/>
        <v>160.04891736011925</v>
      </c>
      <c r="BH131" s="184">
        <f t="shared" si="154"/>
        <v>162.77392527292244</v>
      </c>
      <c r="BI131" s="184">
        <f t="shared" si="154"/>
        <v>167.86200572551911</v>
      </c>
      <c r="BJ131" s="184">
        <f t="shared" si="154"/>
        <v>162.94534415713898</v>
      </c>
      <c r="BK131" s="184">
        <f t="shared" si="154"/>
        <v>155.09874565025495</v>
      </c>
      <c r="BL131" s="184">
        <f t="shared" si="154"/>
        <v>152.74956378843197</v>
      </c>
      <c r="BM131" s="184">
        <f t="shared" si="154"/>
        <v>183.30663646386995</v>
      </c>
      <c r="BN131" s="184">
        <f t="shared" si="154"/>
        <v>173.80673635536729</v>
      </c>
      <c r="BO131" s="184">
        <f t="shared" si="154"/>
        <v>158.11334732478392</v>
      </c>
      <c r="BP131" s="184">
        <f t="shared" si="154"/>
        <v>146.63297286444521</v>
      </c>
      <c r="BQ131" s="184">
        <f t="shared" si="154"/>
        <v>145.52317946419987</v>
      </c>
      <c r="BR131" s="184">
        <f t="shared" ref="BR131:DT131" si="155">BR129*9%</f>
        <v>155.93246712598568</v>
      </c>
      <c r="BS131" s="184">
        <f t="shared" si="155"/>
        <v>164.95234157532764</v>
      </c>
      <c r="BT131" s="184">
        <f t="shared" si="155"/>
        <v>167.86810004202704</v>
      </c>
      <c r="BU131" s="184">
        <f t="shared" si="155"/>
        <v>173.31234612630544</v>
      </c>
      <c r="BV131" s="184">
        <f t="shared" si="155"/>
        <v>168.05151824813871</v>
      </c>
      <c r="BW131" s="184">
        <f t="shared" si="155"/>
        <v>159.65565784577282</v>
      </c>
      <c r="BX131" s="184">
        <f t="shared" si="155"/>
        <v>157.14203325362223</v>
      </c>
      <c r="BY131" s="184">
        <f t="shared" si="155"/>
        <v>189.83810101634083</v>
      </c>
      <c r="BZ131" s="184">
        <f t="shared" si="155"/>
        <v>179.67320790024303</v>
      </c>
      <c r="CA131" s="184">
        <f t="shared" si="155"/>
        <v>162.88128163751878</v>
      </c>
      <c r="CB131" s="184">
        <f t="shared" si="155"/>
        <v>150.59728096495638</v>
      </c>
      <c r="CC131" s="184">
        <f t="shared" si="155"/>
        <v>149.40980202669385</v>
      </c>
      <c r="CD131" s="184">
        <f t="shared" si="155"/>
        <v>160.54773982480469</v>
      </c>
      <c r="CE131" s="184">
        <f t="shared" si="155"/>
        <v>170.19900548560057</v>
      </c>
      <c r="CF131" s="184">
        <f t="shared" si="155"/>
        <v>173.31886704496893</v>
      </c>
      <c r="CG131" s="184">
        <f t="shared" si="155"/>
        <v>179.14421035514687</v>
      </c>
      <c r="CH131" s="184">
        <f t="shared" si="155"/>
        <v>173.51512452550844</v>
      </c>
      <c r="CI131" s="184">
        <f t="shared" si="155"/>
        <v>164.53155389497689</v>
      </c>
      <c r="CJ131" s="184">
        <f t="shared" si="155"/>
        <v>161.84197558137581</v>
      </c>
      <c r="CK131" s="184">
        <f t="shared" si="155"/>
        <v>196.82676808748471</v>
      </c>
      <c r="CL131" s="184">
        <f t="shared" si="155"/>
        <v>185.95033245326002</v>
      </c>
      <c r="CM131" s="184">
        <f t="shared" si="155"/>
        <v>167.98297135214514</v>
      </c>
      <c r="CN131" s="184">
        <f t="shared" si="155"/>
        <v>154.83909063250334</v>
      </c>
      <c r="CO131" s="184">
        <f t="shared" si="155"/>
        <v>153.56848816856242</v>
      </c>
      <c r="CP131" s="184">
        <f t="shared" si="155"/>
        <v>165.48608161254103</v>
      </c>
      <c r="CQ131" s="184">
        <f t="shared" si="155"/>
        <v>175.81293586959262</v>
      </c>
      <c r="CR131" s="184">
        <f t="shared" si="155"/>
        <v>179.15118773811676</v>
      </c>
      <c r="CS131" s="184">
        <f t="shared" si="155"/>
        <v>185.38430508000715</v>
      </c>
      <c r="CT131" s="184">
        <f t="shared" si="155"/>
        <v>179.36118324229403</v>
      </c>
      <c r="CU131" s="184">
        <f t="shared" si="155"/>
        <v>169.7487626676253</v>
      </c>
      <c r="CV131" s="184">
        <f t="shared" si="155"/>
        <v>166.87091387207209</v>
      </c>
      <c r="CW131" s="184">
        <f t="shared" si="155"/>
        <v>204.30464185360867</v>
      </c>
      <c r="CX131" s="184">
        <f t="shared" si="155"/>
        <v>192.66685572498824</v>
      </c>
      <c r="CY131" s="184">
        <f t="shared" si="155"/>
        <v>173.44177934679527</v>
      </c>
      <c r="CZ131" s="184">
        <f t="shared" si="155"/>
        <v>159.37782697677858</v>
      </c>
      <c r="DA131" s="184">
        <f t="shared" si="155"/>
        <v>158.01828234036179</v>
      </c>
      <c r="DB131" s="184">
        <f t="shared" si="155"/>
        <v>170.77010732541888</v>
      </c>
      <c r="DC131" s="184">
        <f t="shared" si="155"/>
        <v>181.81984138046411</v>
      </c>
      <c r="DD131" s="184">
        <f t="shared" si="155"/>
        <v>185.39177087978496</v>
      </c>
      <c r="DE131" s="184">
        <f t="shared" si="155"/>
        <v>192.06120643560766</v>
      </c>
      <c r="DF131" s="184">
        <f t="shared" si="155"/>
        <v>185.61646606925464</v>
      </c>
      <c r="DG131" s="184">
        <f t="shared" si="155"/>
        <v>175.33117605435908</v>
      </c>
      <c r="DH131" s="184">
        <f t="shared" si="155"/>
        <v>172.25187784311714</v>
      </c>
      <c r="DI131" s="184">
        <f t="shared" si="155"/>
        <v>212.3059667833613</v>
      </c>
      <c r="DJ131" s="184">
        <f t="shared" si="155"/>
        <v>199.85353562573741</v>
      </c>
      <c r="DK131" s="184">
        <f t="shared" si="155"/>
        <v>179.28270390107096</v>
      </c>
      <c r="DL131" s="184">
        <f t="shared" si="155"/>
        <v>164.23427486515308</v>
      </c>
      <c r="DM131" s="184">
        <f t="shared" si="155"/>
        <v>162.77956210418711</v>
      </c>
      <c r="DN131" s="184">
        <f t="shared" si="155"/>
        <v>176.42401483819822</v>
      </c>
      <c r="DO131" s="184">
        <f t="shared" si="155"/>
        <v>188.24723027709661</v>
      </c>
      <c r="DP131" s="184">
        <f t="shared" si="155"/>
        <v>192.06919484136984</v>
      </c>
      <c r="DQ131" s="184">
        <f t="shared" si="155"/>
        <v>199.20549088610019</v>
      </c>
      <c r="DR131" s="184">
        <f t="shared" si="155"/>
        <v>192.30961869410245</v>
      </c>
      <c r="DS131" s="184">
        <f t="shared" si="155"/>
        <v>181.30435837816421</v>
      </c>
      <c r="DT131" s="184">
        <f t="shared" si="155"/>
        <v>178.00950929213536</v>
      </c>
    </row>
    <row r="132" spans="1:124" ht="25.5" x14ac:dyDescent="0.25">
      <c r="A132" s="483"/>
      <c r="B132" s="833"/>
      <c r="C132" s="827"/>
      <c r="D132" s="484" t="s">
        <v>277</v>
      </c>
      <c r="E132" s="454">
        <f>SUM(E129:E131)-E128</f>
        <v>1126.1927699968812</v>
      </c>
      <c r="F132" s="454">
        <f t="shared" ref="F132:O132" si="156">SUM(F129:F131)-F128</f>
        <v>1133.983766619594</v>
      </c>
      <c r="G132" s="454">
        <f t="shared" si="156"/>
        <v>1140.939044536437</v>
      </c>
      <c r="H132" s="454">
        <f t="shared" si="156"/>
        <v>1130.3045708797113</v>
      </c>
      <c r="I132" s="454">
        <f t="shared" si="156"/>
        <v>1131.3316921897795</v>
      </c>
      <c r="J132" s="454">
        <f t="shared" si="156"/>
        <v>1142.7656684560375</v>
      </c>
      <c r="K132" s="454">
        <f t="shared" si="156"/>
        <v>2137.4914613230494</v>
      </c>
      <c r="L132" s="454">
        <f t="shared" si="156"/>
        <v>1149.1953849914435</v>
      </c>
      <c r="M132" s="454">
        <f t="shared" si="156"/>
        <v>1150.8401140532292</v>
      </c>
      <c r="N132" s="454">
        <f t="shared" si="156"/>
        <v>1147.8456524805524</v>
      </c>
      <c r="O132" s="454">
        <f t="shared" si="156"/>
        <v>1145.9788766028155</v>
      </c>
      <c r="P132" s="454">
        <f>SUM(P129:P131)-P128</f>
        <v>2270.4048144235312</v>
      </c>
      <c r="Q132" s="454">
        <f>SUM(Q129:Q131)-Q128</f>
        <v>1161.4389728829697</v>
      </c>
      <c r="R132" s="454">
        <f t="shared" ref="R132:AB132" si="157">SUM(R129:R131)-R128</f>
        <v>1154.7116037338901</v>
      </c>
      <c r="S132" s="454">
        <f t="shared" si="157"/>
        <v>1142.2955055470263</v>
      </c>
      <c r="T132" s="454">
        <f t="shared" si="157"/>
        <v>1133.2050238423026</v>
      </c>
      <c r="U132" s="454">
        <f t="shared" si="157"/>
        <v>1132.3583677708934</v>
      </c>
      <c r="V132" s="454">
        <f t="shared" si="157"/>
        <v>1140.2995634888953</v>
      </c>
      <c r="W132" s="454">
        <f t="shared" si="157"/>
        <v>2247.75307375286</v>
      </c>
      <c r="X132" s="454">
        <f t="shared" si="157"/>
        <v>1149.4052006933</v>
      </c>
      <c r="Y132" s="454">
        <f t="shared" si="157"/>
        <v>1153.5585899642047</v>
      </c>
      <c r="Z132" s="454">
        <f t="shared" si="157"/>
        <v>1149.5451295645451</v>
      </c>
      <c r="AA132" s="454">
        <f t="shared" si="157"/>
        <v>1143.1399678625608</v>
      </c>
      <c r="AB132" s="454">
        <f t="shared" si="157"/>
        <v>2278.3556806972547</v>
      </c>
      <c r="AC132" s="454">
        <f>SUM(AC129:AC131)-AC128</f>
        <v>1166.1660092452835</v>
      </c>
      <c r="AD132" s="454">
        <f>SUM(AD129:AD131)-AD128</f>
        <v>1158.4112609560377</v>
      </c>
      <c r="AE132" s="454">
        <f>SUM(AE129:AE131)-AE128</f>
        <v>1145.6007808091504</v>
      </c>
      <c r="AF132" s="454">
        <f t="shared" ref="AF132:AN132" si="158">SUM(AF129:AF131)-AF128</f>
        <v>1136.2293755112639</v>
      </c>
      <c r="AG132" s="454">
        <f t="shared" si="158"/>
        <v>1135.3234535148561</v>
      </c>
      <c r="AH132" s="454">
        <f t="shared" si="158"/>
        <v>1143.8205329331179</v>
      </c>
      <c r="AI132" s="454">
        <f t="shared" si="158"/>
        <v>2291.0934613139179</v>
      </c>
      <c r="AJ132" s="454">
        <f t="shared" si="158"/>
        <v>1153.563564741831</v>
      </c>
      <c r="AK132" s="454">
        <f t="shared" si="158"/>
        <v>1158.0076912616989</v>
      </c>
      <c r="AL132" s="454">
        <f t="shared" si="158"/>
        <v>1153.7132886340632</v>
      </c>
      <c r="AM132" s="454">
        <f t="shared" si="158"/>
        <v>1146.85976561294</v>
      </c>
      <c r="AN132" s="454">
        <f t="shared" si="158"/>
        <v>2326.5405783460633</v>
      </c>
      <c r="AO132" s="454">
        <f>SUM(AO129:AO131)-AO128</f>
        <v>1171.4976298924535</v>
      </c>
      <c r="AP132" s="454">
        <f>SUM(AP129:AP131)-AP128</f>
        <v>1163.2000492229604</v>
      </c>
      <c r="AQ132" s="454">
        <f>SUM(AQ129:AQ131)-AQ128</f>
        <v>1149.4928354657909</v>
      </c>
      <c r="AR132" s="454">
        <f t="shared" ref="AR132:AZ132" si="159">SUM(AR129:AR131)-AR128</f>
        <v>1139.4654317970526</v>
      </c>
      <c r="AS132" s="454">
        <f t="shared" si="159"/>
        <v>1138.4960952608958</v>
      </c>
      <c r="AT132" s="454">
        <f t="shared" si="159"/>
        <v>1147.5879702384364</v>
      </c>
      <c r="AU132" s="454">
        <f t="shared" si="159"/>
        <v>2340.1700036058928</v>
      </c>
      <c r="AV132" s="454">
        <f t="shared" si="159"/>
        <v>1158.0130142737594</v>
      </c>
      <c r="AW132" s="454">
        <f t="shared" si="159"/>
        <v>1162.7682296500179</v>
      </c>
      <c r="AX132" s="454">
        <f t="shared" si="159"/>
        <v>1158.1732188384476</v>
      </c>
      <c r="AY132" s="454">
        <f t="shared" si="159"/>
        <v>1150.8399492058456</v>
      </c>
      <c r="AZ132" s="454">
        <f t="shared" si="159"/>
        <v>2378.0984188302873</v>
      </c>
      <c r="BA132" s="454">
        <f>SUM(BA129:BA131)-BA128</f>
        <v>1177.2024639849253</v>
      </c>
      <c r="BB132" s="454">
        <f>SUM(BB129:BB131)-BB128</f>
        <v>1168.3240526685677</v>
      </c>
      <c r="BC132" s="454">
        <f>SUM(BC129:BC131)-BC128</f>
        <v>1153.6573339483962</v>
      </c>
      <c r="BD132" s="454">
        <f t="shared" ref="BD132:BL132" si="160">SUM(BD129:BD131)-BD128</f>
        <v>1142.9280120228459</v>
      </c>
      <c r="BE132" s="454">
        <f t="shared" si="160"/>
        <v>1141.8908219291588</v>
      </c>
      <c r="BF132" s="454">
        <f t="shared" si="160"/>
        <v>1151.6191281551269</v>
      </c>
      <c r="BG132" s="454">
        <f t="shared" si="160"/>
        <v>2392.6819038583053</v>
      </c>
      <c r="BH132" s="454">
        <f t="shared" si="160"/>
        <v>1162.7739252729225</v>
      </c>
      <c r="BI132" s="454">
        <f t="shared" si="160"/>
        <v>1167.8620057255191</v>
      </c>
      <c r="BJ132" s="454">
        <f t="shared" si="160"/>
        <v>1162.9453441571391</v>
      </c>
      <c r="BK132" s="454">
        <f t="shared" si="160"/>
        <v>1155.0987456502548</v>
      </c>
      <c r="BL132" s="454">
        <f t="shared" si="160"/>
        <v>2433.2653081484077</v>
      </c>
      <c r="BM132" s="454">
        <f>SUM(BM129:BM131)-BM128</f>
        <v>1183.3066364638701</v>
      </c>
      <c r="BN132" s="454">
        <f>SUM(BN129:BN131)-BN128</f>
        <v>1173.8067363553671</v>
      </c>
      <c r="BO132" s="454">
        <f>SUM(BO129:BO131)-BO128</f>
        <v>1158.1133473247839</v>
      </c>
      <c r="BP132" s="454">
        <f t="shared" ref="BP132:BX132" si="161">SUM(BP129:BP131)-BP128</f>
        <v>1146.6329728644453</v>
      </c>
      <c r="BQ132" s="454">
        <f t="shared" si="161"/>
        <v>1145.5231794642</v>
      </c>
      <c r="BR132" s="454">
        <f t="shared" si="161"/>
        <v>1155.9324671259858</v>
      </c>
      <c r="BS132" s="454">
        <f t="shared" si="161"/>
        <v>2448.8696371283868</v>
      </c>
      <c r="BT132" s="454">
        <f t="shared" si="161"/>
        <v>1167.868100042027</v>
      </c>
      <c r="BU132" s="454">
        <f t="shared" si="161"/>
        <v>1173.3123461263053</v>
      </c>
      <c r="BV132" s="454">
        <f t="shared" si="161"/>
        <v>1168.0515182481386</v>
      </c>
      <c r="BW132" s="454">
        <f t="shared" si="161"/>
        <v>1159.655657845773</v>
      </c>
      <c r="BX132" s="454">
        <f t="shared" si="161"/>
        <v>2492.2938797187962</v>
      </c>
      <c r="BY132" s="454">
        <f>SUM(BY129:BY131)-BY128</f>
        <v>1189.8381010163405</v>
      </c>
      <c r="BZ132" s="454">
        <f>SUM(BZ129:BZ131)-BZ128</f>
        <v>1179.6732079002431</v>
      </c>
      <c r="CA132" s="454">
        <f>SUM(CA129:CA131)-CA128</f>
        <v>1162.8812816375189</v>
      </c>
      <c r="CB132" s="454">
        <f t="shared" ref="CB132:CJ132" si="162">SUM(CB129:CB131)-CB128</f>
        <v>1150.5972809649563</v>
      </c>
      <c r="CC132" s="454">
        <f t="shared" si="162"/>
        <v>1149.4098020266938</v>
      </c>
      <c r="CD132" s="454">
        <f t="shared" si="162"/>
        <v>1160.5477398248047</v>
      </c>
      <c r="CE132" s="454">
        <f t="shared" si="162"/>
        <v>2508.9905117273738</v>
      </c>
      <c r="CF132" s="454">
        <f t="shared" si="162"/>
        <v>1173.3188670449688</v>
      </c>
      <c r="CG132" s="454">
        <f t="shared" si="162"/>
        <v>1179.1442103551467</v>
      </c>
      <c r="CH132" s="454">
        <f t="shared" si="162"/>
        <v>1173.5151245255086</v>
      </c>
      <c r="CI132" s="454">
        <f t="shared" si="162"/>
        <v>1164.5315538949767</v>
      </c>
      <c r="CJ132" s="454">
        <f t="shared" si="162"/>
        <v>2555.4544512991115</v>
      </c>
      <c r="CK132" s="454">
        <f>SUM(CK129:CK131)-CK128</f>
        <v>1196.8267680874847</v>
      </c>
      <c r="CL132" s="454">
        <f>SUM(CL129:CL131)-CL128</f>
        <v>1185.95033245326</v>
      </c>
      <c r="CM132" s="454">
        <f>SUM(CM129:CM131)-CM128</f>
        <v>1167.9829713521453</v>
      </c>
      <c r="CN132" s="454">
        <f t="shared" ref="CN132:CV132" si="163">SUM(CN129:CN131)-CN128</f>
        <v>1154.839090632503</v>
      </c>
      <c r="CO132" s="454">
        <f t="shared" si="163"/>
        <v>1153.5684881685625</v>
      </c>
      <c r="CP132" s="454">
        <f t="shared" si="163"/>
        <v>1165.4860816125411</v>
      </c>
      <c r="CQ132" s="454">
        <f t="shared" si="163"/>
        <v>2573.3198475482905</v>
      </c>
      <c r="CR132" s="454">
        <f t="shared" si="163"/>
        <v>1179.1511877381167</v>
      </c>
      <c r="CS132" s="454">
        <f t="shared" si="163"/>
        <v>1185.3843050800072</v>
      </c>
      <c r="CT132" s="454">
        <f t="shared" si="163"/>
        <v>1179.3611832422941</v>
      </c>
      <c r="CU132" s="454">
        <f t="shared" si="163"/>
        <v>1169.7487626676252</v>
      </c>
      <c r="CV132" s="454">
        <f t="shared" si="163"/>
        <v>2623.0362628900498</v>
      </c>
      <c r="CW132" s="454">
        <f>SUM(CW129:CW131)-CW128</f>
        <v>1204.3046418536087</v>
      </c>
      <c r="CX132" s="454">
        <f>SUM(CX129:CX131)-CX128</f>
        <v>1192.6668557249882</v>
      </c>
      <c r="CY132" s="454">
        <f>SUM(CY129:CY131)-CY128</f>
        <v>1173.4417793467953</v>
      </c>
      <c r="CZ132" s="454">
        <f t="shared" ref="CZ132:DH132" si="164">SUM(CZ129:CZ131)-CZ128</f>
        <v>1159.3778269767786</v>
      </c>
      <c r="DA132" s="454">
        <f t="shared" si="164"/>
        <v>1158.0182823403618</v>
      </c>
      <c r="DB132" s="454">
        <f t="shared" si="164"/>
        <v>1170.7701073254191</v>
      </c>
      <c r="DC132" s="454">
        <f t="shared" si="164"/>
        <v>2642.1522368766705</v>
      </c>
      <c r="DD132" s="454">
        <f t="shared" si="164"/>
        <v>1185.3917708797851</v>
      </c>
      <c r="DE132" s="454">
        <f t="shared" si="164"/>
        <v>1192.061206435608</v>
      </c>
      <c r="DF132" s="454">
        <f t="shared" si="164"/>
        <v>1185.616466069255</v>
      </c>
      <c r="DG132" s="454">
        <f t="shared" si="164"/>
        <v>1175.331176054359</v>
      </c>
      <c r="DH132" s="454">
        <f t="shared" si="164"/>
        <v>2695.3488012923535</v>
      </c>
      <c r="DI132" s="454">
        <f>SUM(DI129:DI131)-DI128</f>
        <v>1212.3059667833616</v>
      </c>
      <c r="DJ132" s="454">
        <f>SUM(DJ129:DJ131)-DJ128</f>
        <v>1199.8535356257375</v>
      </c>
      <c r="DK132" s="454">
        <f>SUM(DK129:DK131)-DK128</f>
        <v>1179.2827039010708</v>
      </c>
      <c r="DL132" s="454">
        <f t="shared" ref="DL132:DT132" si="165">SUM(DL129:DL131)-DL128</f>
        <v>1164.2342748651531</v>
      </c>
      <c r="DM132" s="454">
        <f t="shared" si="165"/>
        <v>1162.7795621041871</v>
      </c>
      <c r="DN132" s="454">
        <f t="shared" si="165"/>
        <v>1176.4240148381982</v>
      </c>
      <c r="DO132" s="454">
        <f t="shared" si="165"/>
        <v>2715.8028934580375</v>
      </c>
      <c r="DP132" s="454">
        <f t="shared" si="165"/>
        <v>1192.0691948413694</v>
      </c>
      <c r="DQ132" s="454">
        <f t="shared" si="165"/>
        <v>1199.2054908861003</v>
      </c>
      <c r="DR132" s="454">
        <f t="shared" si="165"/>
        <v>1192.3096186941025</v>
      </c>
      <c r="DS132" s="454">
        <f t="shared" si="165"/>
        <v>1181.3043583781644</v>
      </c>
      <c r="DT132" s="454">
        <f t="shared" si="165"/>
        <v>2772.7232173828179</v>
      </c>
    </row>
    <row r="133" spans="1:124" ht="15" customHeight="1" x14ac:dyDescent="0.25">
      <c r="A133" s="483"/>
      <c r="B133" s="831" t="s">
        <v>608</v>
      </c>
      <c r="C133" s="850" t="s">
        <v>269</v>
      </c>
      <c r="D133" s="438" t="s">
        <v>275</v>
      </c>
      <c r="E133" s="455">
        <f>$F$84</f>
        <v>1500</v>
      </c>
      <c r="F133" s="455">
        <f t="shared" ref="F133:BQ133" si="166">$F$84</f>
        <v>1500</v>
      </c>
      <c r="G133" s="455">
        <f t="shared" si="166"/>
        <v>1500</v>
      </c>
      <c r="H133" s="455">
        <f t="shared" si="166"/>
        <v>1500</v>
      </c>
      <c r="I133" s="455">
        <f t="shared" si="166"/>
        <v>1500</v>
      </c>
      <c r="J133" s="455">
        <f t="shared" si="166"/>
        <v>1500</v>
      </c>
      <c r="K133" s="455">
        <f t="shared" si="166"/>
        <v>1500</v>
      </c>
      <c r="L133" s="455">
        <f t="shared" si="166"/>
        <v>1500</v>
      </c>
      <c r="M133" s="455">
        <f t="shared" si="166"/>
        <v>1500</v>
      </c>
      <c r="N133" s="455">
        <f t="shared" si="166"/>
        <v>1500</v>
      </c>
      <c r="O133" s="455">
        <f t="shared" si="166"/>
        <v>1500</v>
      </c>
      <c r="P133" s="455">
        <f t="shared" si="166"/>
        <v>1500</v>
      </c>
      <c r="Q133" s="455">
        <f t="shared" si="166"/>
        <v>1500</v>
      </c>
      <c r="R133" s="455">
        <f t="shared" si="166"/>
        <v>1500</v>
      </c>
      <c r="S133" s="455">
        <f t="shared" si="166"/>
        <v>1500</v>
      </c>
      <c r="T133" s="455">
        <f t="shared" si="166"/>
        <v>1500</v>
      </c>
      <c r="U133" s="455">
        <f t="shared" si="166"/>
        <v>1500</v>
      </c>
      <c r="V133" s="455">
        <f t="shared" si="166"/>
        <v>1500</v>
      </c>
      <c r="W133" s="455">
        <f t="shared" si="166"/>
        <v>1500</v>
      </c>
      <c r="X133" s="455">
        <f t="shared" si="166"/>
        <v>1500</v>
      </c>
      <c r="Y133" s="455">
        <f t="shared" si="166"/>
        <v>1500</v>
      </c>
      <c r="Z133" s="455">
        <f t="shared" si="166"/>
        <v>1500</v>
      </c>
      <c r="AA133" s="455">
        <f t="shared" si="166"/>
        <v>1500</v>
      </c>
      <c r="AB133" s="455">
        <f t="shared" si="166"/>
        <v>1500</v>
      </c>
      <c r="AC133" s="455">
        <f t="shared" si="166"/>
        <v>1500</v>
      </c>
      <c r="AD133" s="455">
        <f t="shared" si="166"/>
        <v>1500</v>
      </c>
      <c r="AE133" s="455">
        <f t="shared" si="166"/>
        <v>1500</v>
      </c>
      <c r="AF133" s="455">
        <f t="shared" si="166"/>
        <v>1500</v>
      </c>
      <c r="AG133" s="455">
        <f t="shared" si="166"/>
        <v>1500</v>
      </c>
      <c r="AH133" s="455">
        <f t="shared" si="166"/>
        <v>1500</v>
      </c>
      <c r="AI133" s="455">
        <f t="shared" si="166"/>
        <v>1500</v>
      </c>
      <c r="AJ133" s="455">
        <f t="shared" si="166"/>
        <v>1500</v>
      </c>
      <c r="AK133" s="455">
        <f t="shared" si="166"/>
        <v>1500</v>
      </c>
      <c r="AL133" s="455">
        <f t="shared" si="166"/>
        <v>1500</v>
      </c>
      <c r="AM133" s="455">
        <f t="shared" si="166"/>
        <v>1500</v>
      </c>
      <c r="AN133" s="455">
        <f t="shared" si="166"/>
        <v>1500</v>
      </c>
      <c r="AO133" s="455">
        <f t="shared" si="166"/>
        <v>1500</v>
      </c>
      <c r="AP133" s="455">
        <f t="shared" si="166"/>
        <v>1500</v>
      </c>
      <c r="AQ133" s="455">
        <f t="shared" si="166"/>
        <v>1500</v>
      </c>
      <c r="AR133" s="455">
        <f t="shared" si="166"/>
        <v>1500</v>
      </c>
      <c r="AS133" s="455">
        <f t="shared" si="166"/>
        <v>1500</v>
      </c>
      <c r="AT133" s="455">
        <f t="shared" si="166"/>
        <v>1500</v>
      </c>
      <c r="AU133" s="455">
        <f t="shared" si="166"/>
        <v>1500</v>
      </c>
      <c r="AV133" s="455">
        <f t="shared" si="166"/>
        <v>1500</v>
      </c>
      <c r="AW133" s="455">
        <f t="shared" si="166"/>
        <v>1500</v>
      </c>
      <c r="AX133" s="455">
        <f t="shared" si="166"/>
        <v>1500</v>
      </c>
      <c r="AY133" s="455">
        <f t="shared" si="166"/>
        <v>1500</v>
      </c>
      <c r="AZ133" s="455">
        <f t="shared" si="166"/>
        <v>1500</v>
      </c>
      <c r="BA133" s="455">
        <f t="shared" si="166"/>
        <v>1500</v>
      </c>
      <c r="BB133" s="455">
        <f t="shared" si="166"/>
        <v>1500</v>
      </c>
      <c r="BC133" s="455">
        <f t="shared" si="166"/>
        <v>1500</v>
      </c>
      <c r="BD133" s="455">
        <f t="shared" si="166"/>
        <v>1500</v>
      </c>
      <c r="BE133" s="455">
        <f t="shared" si="166"/>
        <v>1500</v>
      </c>
      <c r="BF133" s="455">
        <f t="shared" si="166"/>
        <v>1500</v>
      </c>
      <c r="BG133" s="455">
        <f t="shared" si="166"/>
        <v>1500</v>
      </c>
      <c r="BH133" s="455">
        <f t="shared" si="166"/>
        <v>1500</v>
      </c>
      <c r="BI133" s="455">
        <f t="shared" si="166"/>
        <v>1500</v>
      </c>
      <c r="BJ133" s="455">
        <f t="shared" si="166"/>
        <v>1500</v>
      </c>
      <c r="BK133" s="455">
        <f t="shared" si="166"/>
        <v>1500</v>
      </c>
      <c r="BL133" s="455">
        <f t="shared" si="166"/>
        <v>1500</v>
      </c>
      <c r="BM133" s="455">
        <f t="shared" si="166"/>
        <v>1500</v>
      </c>
      <c r="BN133" s="455">
        <f t="shared" si="166"/>
        <v>1500</v>
      </c>
      <c r="BO133" s="455">
        <f t="shared" si="166"/>
        <v>1500</v>
      </c>
      <c r="BP133" s="455">
        <f t="shared" si="166"/>
        <v>1500</v>
      </c>
      <c r="BQ133" s="455">
        <f t="shared" si="166"/>
        <v>1500</v>
      </c>
      <c r="BR133" s="455">
        <f t="shared" ref="BR133:DT133" si="167">$F$84</f>
        <v>1500</v>
      </c>
      <c r="BS133" s="455">
        <f t="shared" si="167"/>
        <v>1500</v>
      </c>
      <c r="BT133" s="455">
        <f t="shared" si="167"/>
        <v>1500</v>
      </c>
      <c r="BU133" s="455">
        <f t="shared" si="167"/>
        <v>1500</v>
      </c>
      <c r="BV133" s="455">
        <f t="shared" si="167"/>
        <v>1500</v>
      </c>
      <c r="BW133" s="455">
        <f t="shared" si="167"/>
        <v>1500</v>
      </c>
      <c r="BX133" s="455">
        <f t="shared" si="167"/>
        <v>1500</v>
      </c>
      <c r="BY133" s="455">
        <f t="shared" si="167"/>
        <v>1500</v>
      </c>
      <c r="BZ133" s="455">
        <f t="shared" si="167"/>
        <v>1500</v>
      </c>
      <c r="CA133" s="455">
        <f t="shared" si="167"/>
        <v>1500</v>
      </c>
      <c r="CB133" s="455">
        <f t="shared" si="167"/>
        <v>1500</v>
      </c>
      <c r="CC133" s="455">
        <f t="shared" si="167"/>
        <v>1500</v>
      </c>
      <c r="CD133" s="455">
        <f t="shared" si="167"/>
        <v>1500</v>
      </c>
      <c r="CE133" s="455">
        <f t="shared" si="167"/>
        <v>1500</v>
      </c>
      <c r="CF133" s="455">
        <f t="shared" si="167"/>
        <v>1500</v>
      </c>
      <c r="CG133" s="455">
        <f t="shared" si="167"/>
        <v>1500</v>
      </c>
      <c r="CH133" s="455">
        <f t="shared" si="167"/>
        <v>1500</v>
      </c>
      <c r="CI133" s="455">
        <f t="shared" si="167"/>
        <v>1500</v>
      </c>
      <c r="CJ133" s="455">
        <f t="shared" si="167"/>
        <v>1500</v>
      </c>
      <c r="CK133" s="455">
        <f t="shared" si="167"/>
        <v>1500</v>
      </c>
      <c r="CL133" s="455">
        <f t="shared" si="167"/>
        <v>1500</v>
      </c>
      <c r="CM133" s="455">
        <f t="shared" si="167"/>
        <v>1500</v>
      </c>
      <c r="CN133" s="455">
        <f t="shared" si="167"/>
        <v>1500</v>
      </c>
      <c r="CO133" s="455">
        <f t="shared" si="167"/>
        <v>1500</v>
      </c>
      <c r="CP133" s="455">
        <f t="shared" si="167"/>
        <v>1500</v>
      </c>
      <c r="CQ133" s="455">
        <f t="shared" si="167"/>
        <v>1500</v>
      </c>
      <c r="CR133" s="455">
        <f t="shared" si="167"/>
        <v>1500</v>
      </c>
      <c r="CS133" s="455">
        <f t="shared" si="167"/>
        <v>1500</v>
      </c>
      <c r="CT133" s="455">
        <f t="shared" si="167"/>
        <v>1500</v>
      </c>
      <c r="CU133" s="455">
        <f t="shared" si="167"/>
        <v>1500</v>
      </c>
      <c r="CV133" s="455">
        <f t="shared" si="167"/>
        <v>1500</v>
      </c>
      <c r="CW133" s="455">
        <f t="shared" si="167"/>
        <v>1500</v>
      </c>
      <c r="CX133" s="455">
        <f t="shared" si="167"/>
        <v>1500</v>
      </c>
      <c r="CY133" s="455">
        <f t="shared" si="167"/>
        <v>1500</v>
      </c>
      <c r="CZ133" s="455">
        <f t="shared" si="167"/>
        <v>1500</v>
      </c>
      <c r="DA133" s="455">
        <f t="shared" si="167"/>
        <v>1500</v>
      </c>
      <c r="DB133" s="455">
        <f t="shared" si="167"/>
        <v>1500</v>
      </c>
      <c r="DC133" s="455">
        <f t="shared" si="167"/>
        <v>1500</v>
      </c>
      <c r="DD133" s="455">
        <f t="shared" si="167"/>
        <v>1500</v>
      </c>
      <c r="DE133" s="455">
        <f t="shared" si="167"/>
        <v>1500</v>
      </c>
      <c r="DF133" s="455">
        <f t="shared" si="167"/>
        <v>1500</v>
      </c>
      <c r="DG133" s="455">
        <f t="shared" si="167"/>
        <v>1500</v>
      </c>
      <c r="DH133" s="455">
        <f t="shared" si="167"/>
        <v>1500</v>
      </c>
      <c r="DI133" s="455">
        <f t="shared" si="167"/>
        <v>1500</v>
      </c>
      <c r="DJ133" s="455">
        <f t="shared" si="167"/>
        <v>1500</v>
      </c>
      <c r="DK133" s="455">
        <f t="shared" si="167"/>
        <v>1500</v>
      </c>
      <c r="DL133" s="455">
        <f t="shared" si="167"/>
        <v>1500</v>
      </c>
      <c r="DM133" s="455">
        <f t="shared" si="167"/>
        <v>1500</v>
      </c>
      <c r="DN133" s="455">
        <f t="shared" si="167"/>
        <v>1500</v>
      </c>
      <c r="DO133" s="455">
        <f t="shared" si="167"/>
        <v>1500</v>
      </c>
      <c r="DP133" s="455">
        <f t="shared" si="167"/>
        <v>1500</v>
      </c>
      <c r="DQ133" s="455">
        <f t="shared" si="167"/>
        <v>1500</v>
      </c>
      <c r="DR133" s="455">
        <f t="shared" si="167"/>
        <v>1500</v>
      </c>
      <c r="DS133" s="455">
        <f t="shared" si="167"/>
        <v>1500</v>
      </c>
      <c r="DT133" s="455">
        <f t="shared" si="167"/>
        <v>1500</v>
      </c>
    </row>
    <row r="134" spans="1:124" x14ac:dyDescent="0.25">
      <c r="A134" s="483"/>
      <c r="B134" s="832"/>
      <c r="C134" s="851"/>
      <c r="D134" s="482" t="s">
        <v>4</v>
      </c>
      <c r="E134" s="455">
        <f>'COSTO VARIABLE'!E9*0.7</f>
        <v>938.33107399321796</v>
      </c>
      <c r="F134" s="455">
        <f>'COSTO VARIABLE'!F9*0.7</f>
        <v>1140.3198753228087</v>
      </c>
      <c r="G134" s="455">
        <f>'COSTO VARIABLE'!G9*0.7</f>
        <v>1320.6418953891075</v>
      </c>
      <c r="H134" s="455">
        <f>'COSTO VARIABLE'!H9*0.7</f>
        <v>1044.9333191036237</v>
      </c>
      <c r="I134" s="455">
        <f>'COSTO VARIABLE'!I9*0.7</f>
        <v>1071.5623901053941</v>
      </c>
      <c r="J134" s="455">
        <f>'COSTO VARIABLE'!J9*0.7</f>
        <v>1367.9988118232006</v>
      </c>
      <c r="K134" s="455">
        <f>'COSTO VARIABLE'!K9*0.7</f>
        <v>1446.4686903432107</v>
      </c>
      <c r="L134" s="455">
        <f>'COSTO VARIABLE'!L9*0.7</f>
        <v>1534.6951664448275</v>
      </c>
      <c r="M134" s="455">
        <f>'COSTO VARIABLE'!M9*0.7</f>
        <v>1577.3362902689062</v>
      </c>
      <c r="N134" s="455">
        <f>'COSTO VARIABLE'!N9*0.7</f>
        <v>1499.7021013476524</v>
      </c>
      <c r="O134" s="455">
        <f>'COSTO VARIABLE'!O9*0.7</f>
        <v>1451.3042082211455</v>
      </c>
      <c r="P134" s="455">
        <f>'COSTO VARIABLE'!P9*0.7</f>
        <v>1309.195419028372</v>
      </c>
      <c r="Q134" s="455">
        <f>'COSTO VARIABLE'!Q9*0.7</f>
        <v>1852.1215191881108</v>
      </c>
      <c r="R134" s="455">
        <f>'COSTO VARIABLE'!R9*0.7</f>
        <v>1677.7082449526988</v>
      </c>
      <c r="S134" s="455">
        <f>'COSTO VARIABLE'!S9*0.7</f>
        <v>1355.8094030710545</v>
      </c>
      <c r="T134" s="455">
        <f>'COSTO VARIABLE'!T9*0.7</f>
        <v>1120.1302477634024</v>
      </c>
      <c r="U134" s="455">
        <f>'COSTO VARIABLE'!U9*0.7</f>
        <v>1098.179905171314</v>
      </c>
      <c r="V134" s="455">
        <f>'COSTO VARIABLE'!V9*0.7</f>
        <v>1304.0627571195082</v>
      </c>
      <c r="W134" s="455">
        <f>'COSTO VARIABLE'!W9*0.7</f>
        <v>1482.4647319888024</v>
      </c>
      <c r="X134" s="455">
        <f>'COSTO VARIABLE'!X9*0.7</f>
        <v>1540.1348327892617</v>
      </c>
      <c r="Y134" s="455">
        <f>'COSTO VARIABLE'!Y9*0.7</f>
        <v>1647.8152953682677</v>
      </c>
      <c r="Z134" s="455">
        <f>'COSTO VARIABLE'!Z9*0.7</f>
        <v>1543.7626183400571</v>
      </c>
      <c r="AA134" s="455">
        <f>'COSTO VARIABLE'!AA9*0.7</f>
        <v>1377.7028705108328</v>
      </c>
      <c r="AB134" s="455">
        <f>'COSTO VARIABLE'!AB9*0.7</f>
        <v>1327.9864810158101</v>
      </c>
      <c r="AC134" s="455">
        <f>'COSTO VARIABLE'!AC9*0.7</f>
        <v>1974.6743137666115</v>
      </c>
      <c r="AD134" s="455">
        <f>'COSTO VARIABLE'!AD9*0.7</f>
        <v>1773.6252840454217</v>
      </c>
      <c r="AE134" s="455">
        <f>'COSTO VARIABLE'!AE9*0.7</f>
        <v>1441.5017246816744</v>
      </c>
      <c r="AF134" s="455">
        <f>'COSTO VARIABLE'!AF9*0.7</f>
        <v>1198.5393651068407</v>
      </c>
      <c r="AG134" s="455">
        <f>'COSTO VARIABLE'!AG9*0.7</f>
        <v>1175.0524985333061</v>
      </c>
      <c r="AH134" s="455">
        <f>'COSTO VARIABLE'!AH9*0.7</f>
        <v>1395.3471501178738</v>
      </c>
      <c r="AI134" s="455">
        <f>'COSTO VARIABLE'!AI9*0.7</f>
        <v>1586.2372632280189</v>
      </c>
      <c r="AJ134" s="455">
        <f>'COSTO VARIABLE'!AJ9*0.7</f>
        <v>1647.9442710845103</v>
      </c>
      <c r="AK134" s="455">
        <f>'COSTO VARIABLE'!AK9*0.7</f>
        <v>1763.1623660440464</v>
      </c>
      <c r="AL134" s="455">
        <f>'COSTO VARIABLE'!AL9*0.7</f>
        <v>1651.8260016238612</v>
      </c>
      <c r="AM134" s="455">
        <f>'COSTO VARIABLE'!AM9*0.7</f>
        <v>1474.1420714465914</v>
      </c>
      <c r="AN134" s="455">
        <f>'COSTO VARIABLE'!AN9*0.7</f>
        <v>1420.9455346869167</v>
      </c>
      <c r="AO134" s="455">
        <f>'COSTO VARIABLE'!AO9*0.7</f>
        <v>2112.9015157302747</v>
      </c>
      <c r="AP134" s="455">
        <f>'COSTO VARIABLE'!AP9*0.7</f>
        <v>1897.7790539286013</v>
      </c>
      <c r="AQ134" s="455">
        <f>'COSTO VARIABLE'!AQ9*0.7</f>
        <v>1542.4068454093917</v>
      </c>
      <c r="AR134" s="455">
        <f>'COSTO VARIABLE'!AR9*0.7</f>
        <v>1282.4371206643198</v>
      </c>
      <c r="AS134" s="455">
        <f>'COSTO VARIABLE'!AS9*0.7</f>
        <v>1257.3061734306377</v>
      </c>
      <c r="AT134" s="455">
        <f>'COSTO VARIABLE'!AT9*0.7</f>
        <v>1493.0214506261252</v>
      </c>
      <c r="AU134" s="455">
        <f>'COSTO VARIABLE'!AU9*0.7</f>
        <v>1697.2738716539807</v>
      </c>
      <c r="AV134" s="455">
        <f>'COSTO VARIABLE'!AV9*0.7</f>
        <v>1763.3003700604261</v>
      </c>
      <c r="AW134" s="455">
        <f>'COSTO VARIABLE'!AW9*0.7</f>
        <v>1886.5837316671298</v>
      </c>
      <c r="AX134" s="455">
        <f>'COSTO VARIABLE'!AX9*0.7</f>
        <v>1767.4538217375321</v>
      </c>
      <c r="AY134" s="455">
        <f>'COSTO VARIABLE'!AY9*0.7</f>
        <v>1577.3320164478528</v>
      </c>
      <c r="AZ134" s="455">
        <f>'COSTO VARIABLE'!AZ9*0.7</f>
        <v>1520.4117221150013</v>
      </c>
      <c r="BA134" s="455">
        <f>'COSTO VARIABLE'!BA9*0.7</f>
        <v>2260.8046218313939</v>
      </c>
      <c r="BB134" s="455">
        <f>'COSTO VARIABLE'!BB9*0.7</f>
        <v>2030.6235877036038</v>
      </c>
      <c r="BC134" s="455">
        <f>'COSTO VARIABLE'!BC9*0.7</f>
        <v>1650.3753245880494</v>
      </c>
      <c r="BD134" s="455">
        <f>'COSTO VARIABLE'!BD9*0.7</f>
        <v>1372.2077191108222</v>
      </c>
      <c r="BE134" s="455">
        <f>'COSTO VARIABLE'!BE9*0.7</f>
        <v>1345.3176055707825</v>
      </c>
      <c r="BF134" s="455">
        <f>'COSTO VARIABLE'!BF9*0.7</f>
        <v>1597.5329521699543</v>
      </c>
      <c r="BG134" s="455">
        <f>'COSTO VARIABLE'!BG9*0.7</f>
        <v>1816.0830426697592</v>
      </c>
      <c r="BH134" s="455">
        <f>'COSTO VARIABLE'!BH9*0.7</f>
        <v>1886.7313959646563</v>
      </c>
      <c r="BI134" s="455">
        <f>'COSTO VARIABLE'!BI9*0.7</f>
        <v>2018.6445928838291</v>
      </c>
      <c r="BJ134" s="455">
        <f>'COSTO VARIABLE'!BJ9*0.7</f>
        <v>1891.1755892591589</v>
      </c>
      <c r="BK134" s="455">
        <f>'COSTO VARIABLE'!BK9*0.7</f>
        <v>1687.7452575992029</v>
      </c>
      <c r="BL134" s="455">
        <f>'COSTO VARIABLE'!BL9*0.7</f>
        <v>1626.8405426630513</v>
      </c>
      <c r="BM134" s="455">
        <f>'COSTO VARIABLE'!BM9*0.7</f>
        <v>2419.0609453595907</v>
      </c>
      <c r="BN134" s="455">
        <f>'COSTO VARIABLE'!BN9*0.7</f>
        <v>2172.7672388428559</v>
      </c>
      <c r="BO134" s="455">
        <f>'COSTO VARIABLE'!BO9*0.7</f>
        <v>1765.9015973092128</v>
      </c>
      <c r="BP134" s="455">
        <f>'COSTO VARIABLE'!BP9*0.7</f>
        <v>1468.2622594485799</v>
      </c>
      <c r="BQ134" s="455">
        <f>'COSTO VARIABLE'!BQ9*0.7</f>
        <v>1439.4898379607373</v>
      </c>
      <c r="BR134" s="455">
        <f>'COSTO VARIABLE'!BR9*0.7</f>
        <v>1709.3602588218512</v>
      </c>
      <c r="BS134" s="455">
        <f>'COSTO VARIABLE'!BS9*0.7</f>
        <v>1943.2088556566428</v>
      </c>
      <c r="BT134" s="455">
        <f>'COSTO VARIABLE'!BT9*0.7</f>
        <v>2018.8025936821825</v>
      </c>
      <c r="BU134" s="455">
        <f>'COSTO VARIABLE'!BU9*0.7</f>
        <v>2159.949714385697</v>
      </c>
      <c r="BV134" s="455">
        <f>'COSTO VARIABLE'!BV9*0.7</f>
        <v>2023.5578805073003</v>
      </c>
      <c r="BW134" s="455">
        <f>'COSTO VARIABLE'!BW9*0.7</f>
        <v>1805.8874256311474</v>
      </c>
      <c r="BX134" s="455">
        <f>'COSTO VARIABLE'!BX9*0.7</f>
        <v>1740.7193806494654</v>
      </c>
      <c r="BY134" s="455">
        <f>'COSTO VARIABLE'!BY9*0.7</f>
        <v>2588.3952115347629</v>
      </c>
      <c r="BZ134" s="455">
        <f>'COSTO VARIABLE'!BZ9*0.7</f>
        <v>2324.8609455618562</v>
      </c>
      <c r="CA134" s="455">
        <f>'COSTO VARIABLE'!CA9*0.7</f>
        <v>1889.514709120858</v>
      </c>
      <c r="CB134" s="455">
        <f>'COSTO VARIABLE'!CB9*0.7</f>
        <v>1571.0406176099805</v>
      </c>
      <c r="CC134" s="455">
        <f>'COSTO VARIABLE'!CC9*0.7</f>
        <v>1540.254126617989</v>
      </c>
      <c r="CD134" s="455">
        <f>'COSTO VARIABLE'!CD9*0.7</f>
        <v>1829.015476939381</v>
      </c>
      <c r="CE134" s="455">
        <f>'COSTO VARIABLE'!CE9*0.7</f>
        <v>2079.2334755526076</v>
      </c>
      <c r="CF134" s="455">
        <f>'COSTO VARIABLE'!CF9*0.7</f>
        <v>2160.1187752399355</v>
      </c>
      <c r="CG134" s="455">
        <f>'COSTO VARIABLE'!CG9*0.7</f>
        <v>2311.1461943926965</v>
      </c>
      <c r="CH134" s="455">
        <f>'COSTO VARIABLE'!CH9*0.7</f>
        <v>2165.2069321428116</v>
      </c>
      <c r="CI134" s="455">
        <f>'COSTO VARIABLE'!CI9*0.7</f>
        <v>1932.2995454253276</v>
      </c>
      <c r="CJ134" s="455">
        <f>'COSTO VARIABLE'!CJ9*0.7</f>
        <v>1862.569737294928</v>
      </c>
      <c r="CK134" s="455">
        <f>'COSTO VARIABLE'!CK9*0.7</f>
        <v>2769.5828763421964</v>
      </c>
      <c r="CL134" s="455">
        <f>'COSTO VARIABLE'!CL9*0.7</f>
        <v>2487.6012117511868</v>
      </c>
      <c r="CM134" s="455">
        <f>'COSTO VARIABLE'!CM9*0.7</f>
        <v>2021.7807387593184</v>
      </c>
      <c r="CN134" s="455">
        <f>'COSTO VARIABLE'!CN9*0.7</f>
        <v>1681.0134608426795</v>
      </c>
      <c r="CO134" s="455">
        <f>'COSTO VARIABLE'!CO9*0.7</f>
        <v>1648.0719154812484</v>
      </c>
      <c r="CP134" s="455">
        <f>'COSTO VARIABLE'!CP9*0.7</f>
        <v>1957.0465603251378</v>
      </c>
      <c r="CQ134" s="455">
        <f>'COSTO VARIABLE'!CQ9*0.7</f>
        <v>2224.7798188412903</v>
      </c>
      <c r="CR134" s="455">
        <f>'COSTO VARIABLE'!CR9*0.7</f>
        <v>2311.3270895067308</v>
      </c>
      <c r="CS134" s="455">
        <f>'COSTO VARIABLE'!CS9*0.7</f>
        <v>2472.9264280001853</v>
      </c>
      <c r="CT134" s="455">
        <f>'COSTO VARIABLE'!CT9*0.7</f>
        <v>2316.771417392808</v>
      </c>
      <c r="CU134" s="455">
        <f>'COSTO VARIABLE'!CU9*0.7</f>
        <v>2067.5605136051008</v>
      </c>
      <c r="CV134" s="455">
        <f>'COSTO VARIABLE'!CV9*0.7</f>
        <v>1992.9496189055728</v>
      </c>
      <c r="CW134" s="455">
        <f>'COSTO VARIABLE'!CW9*0.7</f>
        <v>2963.4536776861505</v>
      </c>
      <c r="CX134" s="455">
        <f>'COSTO VARIABLE'!CX9*0.7</f>
        <v>2661.7332965737692</v>
      </c>
      <c r="CY134" s="455">
        <f>'COSTO VARIABLE'!CY9*0.7</f>
        <v>2163.3053904724702</v>
      </c>
      <c r="CZ134" s="455">
        <f>'COSTO VARIABLE'!CZ9*0.7</f>
        <v>1798.6844031016669</v>
      </c>
      <c r="DA134" s="455">
        <f>'COSTO VARIABLE'!DA9*0.7</f>
        <v>1763.4369495649357</v>
      </c>
      <c r="DB134" s="455">
        <f>'COSTO VARIABLE'!DB9*0.7</f>
        <v>2094.039819547897</v>
      </c>
      <c r="DC134" s="455">
        <f>'COSTO VARIABLE'!DC9*0.7</f>
        <v>2380.5144061601804</v>
      </c>
      <c r="DD134" s="455">
        <f>'COSTO VARIABLE'!DD9*0.7</f>
        <v>2473.1199857722022</v>
      </c>
      <c r="DE134" s="455">
        <f>'COSTO VARIABLE'!DE9*0.7</f>
        <v>2646.0312779601982</v>
      </c>
      <c r="DF134" s="455">
        <f>'COSTO VARIABLE'!DF9*0.7</f>
        <v>2478.9454166103051</v>
      </c>
      <c r="DG134" s="455">
        <f>'COSTO VARIABLE'!DG9*0.7</f>
        <v>2212.2897495574575</v>
      </c>
      <c r="DH134" s="455">
        <f>'COSTO VARIABLE'!DH9*0.7</f>
        <v>2132.4560922289634</v>
      </c>
      <c r="DI134" s="455">
        <f>'COSTO VARIABLE'!DI9*0.7</f>
        <v>3170.8954351241809</v>
      </c>
      <c r="DJ134" s="455">
        <f>'COSTO VARIABLE'!DJ9*0.7</f>
        <v>2848.0546273339328</v>
      </c>
      <c r="DK134" s="455">
        <f>'COSTO VARIABLE'!DK9*0.7</f>
        <v>2314.7367678055434</v>
      </c>
      <c r="DL134" s="455">
        <f>'COSTO VARIABLE'!DL9*0.7</f>
        <v>1924.5923113187835</v>
      </c>
      <c r="DM134" s="455">
        <f>'COSTO VARIABLE'!DM9*0.7</f>
        <v>1886.877536034481</v>
      </c>
      <c r="DN134" s="455">
        <f>'COSTO VARIABLE'!DN9*0.7</f>
        <v>2240.6226069162503</v>
      </c>
      <c r="DO134" s="455">
        <f>'COSTO VARIABLE'!DO9*0.7</f>
        <v>2547.1504145913932</v>
      </c>
      <c r="DP134" s="455">
        <f>'COSTO VARIABLE'!DP9*0.7</f>
        <v>2646.2383847762562</v>
      </c>
      <c r="DQ134" s="455">
        <f>'COSTO VARIABLE'!DQ9*0.7</f>
        <v>2831.2534674174121</v>
      </c>
      <c r="DR134" s="455">
        <f>'COSTO VARIABLE'!DR9*0.7</f>
        <v>2652.4715957730268</v>
      </c>
      <c r="DS134" s="455">
        <f>'COSTO VARIABLE'!DS9*0.7</f>
        <v>2367.1500320264795</v>
      </c>
      <c r="DT134" s="455">
        <f>'COSTO VARIABLE'!DT9*0.7</f>
        <v>2281.7280186849907</v>
      </c>
    </row>
    <row r="135" spans="1:124" x14ac:dyDescent="0.25">
      <c r="A135" s="483"/>
      <c r="B135" s="832"/>
      <c r="C135" s="851"/>
      <c r="D135" s="438" t="s">
        <v>276</v>
      </c>
      <c r="E135" s="455">
        <f>SUM(E133:E134)</f>
        <v>2438.3310739932181</v>
      </c>
      <c r="F135" s="455">
        <f t="shared" ref="F135:BQ135" si="168">SUM(F133:F134)</f>
        <v>2640.3198753228089</v>
      </c>
      <c r="G135" s="455">
        <f t="shared" si="168"/>
        <v>2820.6418953891075</v>
      </c>
      <c r="H135" s="455">
        <f t="shared" si="168"/>
        <v>2544.9333191036239</v>
      </c>
      <c r="I135" s="455">
        <f t="shared" si="168"/>
        <v>2571.5623901053941</v>
      </c>
      <c r="J135" s="455">
        <f t="shared" si="168"/>
        <v>2867.9988118232004</v>
      </c>
      <c r="K135" s="455">
        <f t="shared" si="168"/>
        <v>2946.4686903432107</v>
      </c>
      <c r="L135" s="455">
        <f t="shared" si="168"/>
        <v>3034.6951664448275</v>
      </c>
      <c r="M135" s="455">
        <f t="shared" si="168"/>
        <v>3077.3362902689059</v>
      </c>
      <c r="N135" s="455">
        <f t="shared" si="168"/>
        <v>2999.7021013476524</v>
      </c>
      <c r="O135" s="455">
        <f t="shared" si="168"/>
        <v>2951.3042082211455</v>
      </c>
      <c r="P135" s="455">
        <f t="shared" si="168"/>
        <v>2809.1954190283723</v>
      </c>
      <c r="Q135" s="455">
        <f t="shared" si="168"/>
        <v>3352.1215191881111</v>
      </c>
      <c r="R135" s="455">
        <f t="shared" si="168"/>
        <v>3177.7082449526988</v>
      </c>
      <c r="S135" s="455">
        <f t="shared" si="168"/>
        <v>2855.8094030710545</v>
      </c>
      <c r="T135" s="455">
        <f t="shared" si="168"/>
        <v>2620.1302477634026</v>
      </c>
      <c r="U135" s="455">
        <f t="shared" si="168"/>
        <v>2598.1799051713142</v>
      </c>
      <c r="V135" s="455">
        <f t="shared" si="168"/>
        <v>2804.0627571195082</v>
      </c>
      <c r="W135" s="455">
        <f t="shared" si="168"/>
        <v>2982.4647319888027</v>
      </c>
      <c r="X135" s="455">
        <f t="shared" si="168"/>
        <v>3040.134832789262</v>
      </c>
      <c r="Y135" s="455">
        <f t="shared" si="168"/>
        <v>3147.8152953682675</v>
      </c>
      <c r="Z135" s="455">
        <f t="shared" si="168"/>
        <v>3043.7626183400571</v>
      </c>
      <c r="AA135" s="455">
        <f t="shared" si="168"/>
        <v>2877.7028705108328</v>
      </c>
      <c r="AB135" s="455">
        <f t="shared" si="168"/>
        <v>2827.9864810158101</v>
      </c>
      <c r="AC135" s="455">
        <f t="shared" si="168"/>
        <v>3474.6743137666117</v>
      </c>
      <c r="AD135" s="455">
        <f t="shared" si="168"/>
        <v>3273.6252840454217</v>
      </c>
      <c r="AE135" s="455">
        <f t="shared" si="168"/>
        <v>2941.5017246816742</v>
      </c>
      <c r="AF135" s="455">
        <f t="shared" si="168"/>
        <v>2698.5393651068407</v>
      </c>
      <c r="AG135" s="455">
        <f t="shared" si="168"/>
        <v>2675.0524985333059</v>
      </c>
      <c r="AH135" s="455">
        <f t="shared" si="168"/>
        <v>2895.3471501178738</v>
      </c>
      <c r="AI135" s="455">
        <f t="shared" si="168"/>
        <v>3086.2372632280189</v>
      </c>
      <c r="AJ135" s="455">
        <f t="shared" si="168"/>
        <v>3147.9442710845105</v>
      </c>
      <c r="AK135" s="455">
        <f t="shared" si="168"/>
        <v>3263.1623660440464</v>
      </c>
      <c r="AL135" s="455">
        <f t="shared" si="168"/>
        <v>3151.826001623861</v>
      </c>
      <c r="AM135" s="455">
        <f t="shared" si="168"/>
        <v>2974.1420714465912</v>
      </c>
      <c r="AN135" s="455">
        <f t="shared" si="168"/>
        <v>2920.9455346869167</v>
      </c>
      <c r="AO135" s="455">
        <f t="shared" si="168"/>
        <v>3612.9015157302747</v>
      </c>
      <c r="AP135" s="455">
        <f t="shared" si="168"/>
        <v>3397.7790539286016</v>
      </c>
      <c r="AQ135" s="455">
        <f t="shared" si="168"/>
        <v>3042.4068454093917</v>
      </c>
      <c r="AR135" s="455">
        <f t="shared" si="168"/>
        <v>2782.43712066432</v>
      </c>
      <c r="AS135" s="455">
        <f t="shared" si="168"/>
        <v>2757.3061734306375</v>
      </c>
      <c r="AT135" s="455">
        <f t="shared" si="168"/>
        <v>2993.0214506261254</v>
      </c>
      <c r="AU135" s="455">
        <f t="shared" si="168"/>
        <v>3197.2738716539807</v>
      </c>
      <c r="AV135" s="455">
        <f t="shared" si="168"/>
        <v>3263.3003700604258</v>
      </c>
      <c r="AW135" s="455">
        <f t="shared" si="168"/>
        <v>3386.5837316671295</v>
      </c>
      <c r="AX135" s="455">
        <f t="shared" si="168"/>
        <v>3267.4538217375321</v>
      </c>
      <c r="AY135" s="455">
        <f t="shared" si="168"/>
        <v>3077.3320164478528</v>
      </c>
      <c r="AZ135" s="455">
        <f t="shared" si="168"/>
        <v>3020.4117221150013</v>
      </c>
      <c r="BA135" s="455">
        <f t="shared" si="168"/>
        <v>3760.8046218313939</v>
      </c>
      <c r="BB135" s="455">
        <f t="shared" si="168"/>
        <v>3530.6235877036038</v>
      </c>
      <c r="BC135" s="455">
        <f t="shared" si="168"/>
        <v>3150.3753245880494</v>
      </c>
      <c r="BD135" s="455">
        <f t="shared" si="168"/>
        <v>2872.2077191108219</v>
      </c>
      <c r="BE135" s="455">
        <f t="shared" si="168"/>
        <v>2845.3176055707827</v>
      </c>
      <c r="BF135" s="455">
        <f t="shared" si="168"/>
        <v>3097.5329521699541</v>
      </c>
      <c r="BG135" s="455">
        <f t="shared" si="168"/>
        <v>3316.0830426697594</v>
      </c>
      <c r="BH135" s="455">
        <f t="shared" si="168"/>
        <v>3386.7313959646563</v>
      </c>
      <c r="BI135" s="455">
        <f t="shared" si="168"/>
        <v>3518.6445928838293</v>
      </c>
      <c r="BJ135" s="455">
        <f t="shared" si="168"/>
        <v>3391.1755892591591</v>
      </c>
      <c r="BK135" s="455">
        <f t="shared" si="168"/>
        <v>3187.7452575992029</v>
      </c>
      <c r="BL135" s="455">
        <f t="shared" si="168"/>
        <v>3126.8405426630516</v>
      </c>
      <c r="BM135" s="455">
        <f t="shared" si="168"/>
        <v>3919.0609453595907</v>
      </c>
      <c r="BN135" s="455">
        <f t="shared" si="168"/>
        <v>3672.7672388428559</v>
      </c>
      <c r="BO135" s="455">
        <f t="shared" si="168"/>
        <v>3265.9015973092128</v>
      </c>
      <c r="BP135" s="455">
        <f t="shared" si="168"/>
        <v>2968.2622594485802</v>
      </c>
      <c r="BQ135" s="455">
        <f t="shared" si="168"/>
        <v>2939.4898379607375</v>
      </c>
      <c r="BR135" s="455">
        <f t="shared" ref="BR135:DT135" si="169">SUM(BR133:BR134)</f>
        <v>3209.3602588218509</v>
      </c>
      <c r="BS135" s="455">
        <f t="shared" si="169"/>
        <v>3443.2088556566428</v>
      </c>
      <c r="BT135" s="455">
        <f t="shared" si="169"/>
        <v>3518.8025936821823</v>
      </c>
      <c r="BU135" s="455">
        <f t="shared" si="169"/>
        <v>3659.949714385697</v>
      </c>
      <c r="BV135" s="455">
        <f t="shared" si="169"/>
        <v>3523.5578805073001</v>
      </c>
      <c r="BW135" s="455">
        <f t="shared" si="169"/>
        <v>3305.8874256311474</v>
      </c>
      <c r="BX135" s="455">
        <f t="shared" si="169"/>
        <v>3240.7193806494652</v>
      </c>
      <c r="BY135" s="455">
        <f t="shared" si="169"/>
        <v>4088.3952115347629</v>
      </c>
      <c r="BZ135" s="455">
        <f t="shared" si="169"/>
        <v>3824.8609455618562</v>
      </c>
      <c r="CA135" s="455">
        <f t="shared" si="169"/>
        <v>3389.5147091208582</v>
      </c>
      <c r="CB135" s="455">
        <f t="shared" si="169"/>
        <v>3071.0406176099805</v>
      </c>
      <c r="CC135" s="455">
        <f t="shared" si="169"/>
        <v>3040.2541266179887</v>
      </c>
      <c r="CD135" s="455">
        <f t="shared" si="169"/>
        <v>3329.0154769393812</v>
      </c>
      <c r="CE135" s="455">
        <f t="shared" si="169"/>
        <v>3579.2334755526076</v>
      </c>
      <c r="CF135" s="455">
        <f t="shared" si="169"/>
        <v>3660.1187752399355</v>
      </c>
      <c r="CG135" s="455">
        <f t="shared" si="169"/>
        <v>3811.1461943926965</v>
      </c>
      <c r="CH135" s="455">
        <f t="shared" si="169"/>
        <v>3665.2069321428116</v>
      </c>
      <c r="CI135" s="455">
        <f t="shared" si="169"/>
        <v>3432.2995454253278</v>
      </c>
      <c r="CJ135" s="455">
        <f t="shared" si="169"/>
        <v>3362.569737294928</v>
      </c>
      <c r="CK135" s="455">
        <f t="shared" si="169"/>
        <v>4269.582876342196</v>
      </c>
      <c r="CL135" s="455">
        <f t="shared" si="169"/>
        <v>3987.6012117511868</v>
      </c>
      <c r="CM135" s="455">
        <f t="shared" si="169"/>
        <v>3521.7807387593184</v>
      </c>
      <c r="CN135" s="455">
        <f t="shared" si="169"/>
        <v>3181.0134608426797</v>
      </c>
      <c r="CO135" s="455">
        <f t="shared" si="169"/>
        <v>3148.0719154812487</v>
      </c>
      <c r="CP135" s="455">
        <f t="shared" si="169"/>
        <v>3457.0465603251378</v>
      </c>
      <c r="CQ135" s="455">
        <f t="shared" si="169"/>
        <v>3724.7798188412903</v>
      </c>
      <c r="CR135" s="455">
        <f t="shared" si="169"/>
        <v>3811.3270895067308</v>
      </c>
      <c r="CS135" s="455">
        <f t="shared" si="169"/>
        <v>3972.9264280001853</v>
      </c>
      <c r="CT135" s="455">
        <f t="shared" si="169"/>
        <v>3816.771417392808</v>
      </c>
      <c r="CU135" s="455">
        <f t="shared" si="169"/>
        <v>3567.5605136051008</v>
      </c>
      <c r="CV135" s="455">
        <f t="shared" si="169"/>
        <v>3492.9496189055726</v>
      </c>
      <c r="CW135" s="455">
        <f t="shared" si="169"/>
        <v>4463.4536776861505</v>
      </c>
      <c r="CX135" s="455">
        <f t="shared" si="169"/>
        <v>4161.7332965737696</v>
      </c>
      <c r="CY135" s="455">
        <f t="shared" si="169"/>
        <v>3663.3053904724702</v>
      </c>
      <c r="CZ135" s="455">
        <f t="shared" si="169"/>
        <v>3298.6844031016672</v>
      </c>
      <c r="DA135" s="455">
        <f t="shared" si="169"/>
        <v>3263.4369495649357</v>
      </c>
      <c r="DB135" s="455">
        <f t="shared" si="169"/>
        <v>3594.039819547897</v>
      </c>
      <c r="DC135" s="455">
        <f t="shared" si="169"/>
        <v>3880.5144061601804</v>
      </c>
      <c r="DD135" s="455">
        <f t="shared" si="169"/>
        <v>3973.1199857722022</v>
      </c>
      <c r="DE135" s="455">
        <f t="shared" si="169"/>
        <v>4146.0312779601982</v>
      </c>
      <c r="DF135" s="455">
        <f t="shared" si="169"/>
        <v>3978.9454166103051</v>
      </c>
      <c r="DG135" s="455">
        <f t="shared" si="169"/>
        <v>3712.2897495574575</v>
      </c>
      <c r="DH135" s="455">
        <f t="shared" si="169"/>
        <v>3632.4560922289634</v>
      </c>
      <c r="DI135" s="455">
        <f t="shared" si="169"/>
        <v>4670.8954351241809</v>
      </c>
      <c r="DJ135" s="455">
        <f t="shared" si="169"/>
        <v>4348.0546273339332</v>
      </c>
      <c r="DK135" s="455">
        <f t="shared" si="169"/>
        <v>3814.7367678055434</v>
      </c>
      <c r="DL135" s="455">
        <f t="shared" si="169"/>
        <v>3424.5923113187837</v>
      </c>
      <c r="DM135" s="455">
        <f t="shared" si="169"/>
        <v>3386.8775360344807</v>
      </c>
      <c r="DN135" s="455">
        <f t="shared" si="169"/>
        <v>3740.6226069162503</v>
      </c>
      <c r="DO135" s="455">
        <f t="shared" si="169"/>
        <v>4047.1504145913932</v>
      </c>
      <c r="DP135" s="455">
        <f t="shared" si="169"/>
        <v>4146.2383847762558</v>
      </c>
      <c r="DQ135" s="455">
        <f t="shared" si="169"/>
        <v>4331.2534674174121</v>
      </c>
      <c r="DR135" s="455">
        <f t="shared" si="169"/>
        <v>4152.4715957730268</v>
      </c>
      <c r="DS135" s="455">
        <f t="shared" si="169"/>
        <v>3867.1500320264795</v>
      </c>
      <c r="DT135" s="455">
        <f t="shared" si="169"/>
        <v>3781.7280186849907</v>
      </c>
    </row>
    <row r="136" spans="1:124" x14ac:dyDescent="0.25">
      <c r="A136" s="483"/>
      <c r="B136" s="832"/>
      <c r="C136" s="851"/>
      <c r="D136" s="438" t="s">
        <v>270</v>
      </c>
      <c r="E136" s="455"/>
      <c r="F136" s="455"/>
      <c r="G136" s="455"/>
      <c r="H136" s="455"/>
      <c r="I136" s="455"/>
      <c r="J136" s="455"/>
      <c r="K136" s="184">
        <f>(J133/2)+AVERAGE(E134:J134)</f>
        <v>1897.2978942895586</v>
      </c>
      <c r="L136" s="455"/>
      <c r="M136" s="455"/>
      <c r="N136" s="455"/>
      <c r="O136" s="455"/>
      <c r="P136" s="184">
        <f>(O133/2)+AVERAGE(K134:P134)</f>
        <v>2219.7836459423525</v>
      </c>
      <c r="Q136" s="455"/>
      <c r="R136" s="455"/>
      <c r="S136" s="455"/>
      <c r="T136" s="455"/>
      <c r="U136" s="455"/>
      <c r="V136" s="455"/>
      <c r="W136" s="184">
        <f>(V133/2)+AVERAGE(Q134:V134)</f>
        <v>2151.3353462110144</v>
      </c>
      <c r="X136" s="455"/>
      <c r="Y136" s="455"/>
      <c r="Z136" s="455"/>
      <c r="AA136" s="455"/>
      <c r="AB136" s="184">
        <f>(AA133/2)+AVERAGE(W134:AB134)</f>
        <v>2236.6444716688384</v>
      </c>
      <c r="AC136" s="455"/>
      <c r="AD136" s="455"/>
      <c r="AE136" s="455"/>
      <c r="AF136" s="455"/>
      <c r="AG136" s="455"/>
      <c r="AH136" s="455"/>
      <c r="AI136" s="184">
        <f>(AH133/2)+AVERAGE(AC134:AH134)</f>
        <v>2243.1233893752878</v>
      </c>
      <c r="AJ136" s="455"/>
      <c r="AK136" s="455"/>
      <c r="AL136" s="455"/>
      <c r="AM136" s="455"/>
      <c r="AN136" s="184">
        <f>(AM133/2)+AVERAGE(AI134:AN134)</f>
        <v>2340.7095846856573</v>
      </c>
      <c r="AO136" s="455"/>
      <c r="AP136" s="455"/>
      <c r="AQ136" s="455"/>
      <c r="AR136" s="455"/>
      <c r="AS136" s="455"/>
      <c r="AT136" s="455"/>
      <c r="AU136" s="184">
        <f>(AT133/2)+AVERAGE(AO134:AT134)</f>
        <v>2347.6420266315581</v>
      </c>
      <c r="AV136" s="455"/>
      <c r="AW136" s="455"/>
      <c r="AX136" s="455"/>
      <c r="AY136" s="455"/>
      <c r="AZ136" s="184">
        <f>(AY133/2)+AVERAGE(AU134:AZ134)</f>
        <v>2452.0592556136535</v>
      </c>
      <c r="BA136" s="455"/>
      <c r="BB136" s="455"/>
      <c r="BC136" s="455"/>
      <c r="BD136" s="455"/>
      <c r="BE136" s="455"/>
      <c r="BF136" s="455"/>
      <c r="BG136" s="184">
        <f>(BF133/2)+AVERAGE(BA134:BF134)</f>
        <v>2459.4769684957673</v>
      </c>
      <c r="BH136" s="455"/>
      <c r="BI136" s="455"/>
      <c r="BJ136" s="455"/>
      <c r="BK136" s="455"/>
      <c r="BL136" s="184">
        <f>(BK133/2)+AVERAGE(BG134:BL134)</f>
        <v>2571.2034035066099</v>
      </c>
      <c r="BM136" s="455"/>
      <c r="BN136" s="455"/>
      <c r="BO136" s="455"/>
      <c r="BP136" s="455"/>
      <c r="BQ136" s="455"/>
      <c r="BR136" s="455"/>
      <c r="BS136" s="184">
        <f>(BR133/2)+AVERAGE(BM134:BR134)</f>
        <v>2579.1403562904716</v>
      </c>
      <c r="BT136" s="455"/>
      <c r="BU136" s="455"/>
      <c r="BV136" s="455"/>
      <c r="BW136" s="455"/>
      <c r="BX136" s="184">
        <f>(BW133/2)+AVERAGE(BS134:BX134)</f>
        <v>2698.6876417520725</v>
      </c>
      <c r="BY136" s="455"/>
      <c r="BZ136" s="455"/>
      <c r="CA136" s="455"/>
      <c r="CB136" s="455"/>
      <c r="CC136" s="455"/>
      <c r="CD136" s="455"/>
      <c r="CE136" s="184">
        <f>(CD133/2)+AVERAGE(BY134:CD134)</f>
        <v>2707.1801812308049</v>
      </c>
      <c r="CF136" s="455"/>
      <c r="CG136" s="455"/>
      <c r="CH136" s="455"/>
      <c r="CI136" s="455"/>
      <c r="CJ136" s="184">
        <f>(CI133/2)+AVERAGE(CE134:CJ134)</f>
        <v>2835.0957766747179</v>
      </c>
      <c r="CK136" s="455"/>
      <c r="CL136" s="455"/>
      <c r="CM136" s="455"/>
      <c r="CN136" s="455"/>
      <c r="CO136" s="455"/>
      <c r="CP136" s="455"/>
      <c r="CQ136" s="184">
        <f>(CP133/2)+AVERAGE(CK134:CP134)</f>
        <v>2844.1827939169611</v>
      </c>
      <c r="CR136" s="455"/>
      <c r="CS136" s="455"/>
      <c r="CT136" s="455"/>
      <c r="CU136" s="455"/>
      <c r="CV136" s="184">
        <f>(CU133/2)+AVERAGE(CQ134:CV134)</f>
        <v>2981.0524810419479</v>
      </c>
      <c r="CW136" s="455"/>
      <c r="CX136" s="455"/>
      <c r="CY136" s="455"/>
      <c r="CZ136" s="455"/>
      <c r="DA136" s="455"/>
      <c r="DB136" s="455"/>
      <c r="DC136" s="184">
        <f>(DB133/2)+AVERAGE(CW134:DB134)</f>
        <v>2990.7755894911484</v>
      </c>
      <c r="DD136" s="455"/>
      <c r="DE136" s="455"/>
      <c r="DF136" s="455"/>
      <c r="DG136" s="455"/>
      <c r="DH136" s="184">
        <f>(DG133/2)+AVERAGE(DC134:DH134)</f>
        <v>3137.2261547148846</v>
      </c>
      <c r="DI136" s="455"/>
      <c r="DJ136" s="455"/>
      <c r="DK136" s="455"/>
      <c r="DL136" s="455"/>
      <c r="DM136" s="455"/>
      <c r="DN136" s="455"/>
      <c r="DO136" s="184">
        <f>(DN133/2)+AVERAGE(DI134:DN134)</f>
        <v>3147.6298807555286</v>
      </c>
      <c r="DP136" s="455"/>
      <c r="DQ136" s="455"/>
      <c r="DR136" s="455"/>
      <c r="DS136" s="455"/>
      <c r="DT136" s="184">
        <f>(DS133/2)+AVERAGE(DO134:DT134)</f>
        <v>3304.3319855449267</v>
      </c>
    </row>
    <row r="137" spans="1:124" x14ac:dyDescent="0.25">
      <c r="A137" s="483"/>
      <c r="B137" s="832"/>
      <c r="C137" s="851"/>
      <c r="D137" s="438" t="s">
        <v>271</v>
      </c>
      <c r="E137" s="455"/>
      <c r="F137" s="455"/>
      <c r="G137" s="455"/>
      <c r="H137" s="455"/>
      <c r="I137" s="184">
        <f>((J133/2)+AVERAGE(E134:J134)/2+K136/6)*0.5</f>
        <v>819.9326314298529</v>
      </c>
      <c r="J137" s="455"/>
      <c r="K137" s="184"/>
      <c r="L137" s="455"/>
      <c r="M137" s="455"/>
      <c r="N137" s="455"/>
      <c r="O137" s="184">
        <f>((O133/2)+AVERAGE(K134:P134)+P136/6)/12*6</f>
        <v>1294.8737934663723</v>
      </c>
      <c r="P137" s="455"/>
      <c r="Q137" s="455"/>
      <c r="R137" s="455"/>
      <c r="S137" s="455"/>
      <c r="T137" s="455"/>
      <c r="U137" s="184">
        <f>((V133/2)+AVERAGE(Q134:V134)+W136/6)/12*6</f>
        <v>1254.9456186230918</v>
      </c>
      <c r="V137" s="455"/>
      <c r="W137" s="455"/>
      <c r="X137" s="455"/>
      <c r="Y137" s="455"/>
      <c r="Z137" s="455"/>
      <c r="AA137" s="184">
        <f>((AA133/2)+AVERAGE(W134:AB134)+AB136/6)/12*6</f>
        <v>1304.7092751401558</v>
      </c>
      <c r="AB137" s="455"/>
      <c r="AC137" s="455"/>
      <c r="AD137" s="455"/>
      <c r="AE137" s="455"/>
      <c r="AF137" s="455"/>
      <c r="AG137" s="184">
        <f>((AH133/2)+AVERAGE(AC134:AH134)+AI136/6)/12*6</f>
        <v>1308.4886438022513</v>
      </c>
      <c r="AH137" s="455"/>
      <c r="AI137" s="455"/>
      <c r="AJ137" s="455"/>
      <c r="AK137" s="455"/>
      <c r="AL137" s="455"/>
      <c r="AM137" s="184">
        <f>((AM133/2)+AVERAGE(AI134:AN134)+AN136/6)/12*6</f>
        <v>1365.4139243999668</v>
      </c>
      <c r="AN137" s="455"/>
      <c r="AO137" s="455"/>
      <c r="AP137" s="455"/>
      <c r="AQ137" s="455"/>
      <c r="AR137" s="455"/>
      <c r="AS137" s="184">
        <f>((AT133/2)+AVERAGE(AO134:AT134)+AU136/6)/12*6</f>
        <v>1369.457848868409</v>
      </c>
      <c r="AT137" s="455"/>
      <c r="AU137" s="455"/>
      <c r="AV137" s="455"/>
      <c r="AW137" s="455"/>
      <c r="AX137" s="455"/>
      <c r="AY137" s="184">
        <f>((AY133/2)+AVERAGE(AU134:AZ134)+AZ136/6)/12*6</f>
        <v>1430.3678991079646</v>
      </c>
      <c r="AZ137" s="455"/>
      <c r="BA137" s="455"/>
      <c r="BB137" s="455"/>
      <c r="BC137" s="455"/>
      <c r="BD137" s="455"/>
      <c r="BE137" s="184">
        <f>((BF133/2)+AVERAGE(BA134:BF134)+BG136/6)/12*6</f>
        <v>1434.6948982891977</v>
      </c>
      <c r="BF137" s="455"/>
      <c r="BG137" s="455"/>
      <c r="BH137" s="455"/>
      <c r="BI137" s="455"/>
      <c r="BJ137" s="455"/>
      <c r="BK137" s="184">
        <f>((BK133/2)+AVERAGE(BG134:BL134)+BL136/6)/12*6</f>
        <v>1499.8686520455224</v>
      </c>
      <c r="BL137" s="455"/>
      <c r="BM137" s="455"/>
      <c r="BN137" s="455"/>
      <c r="BO137" s="455"/>
      <c r="BP137" s="455"/>
      <c r="BQ137" s="184">
        <f>((BR133/2)+AVERAGE(BM134:BR134)+BS136/6)/12*6</f>
        <v>1504.4985411694418</v>
      </c>
      <c r="BR137" s="455"/>
      <c r="BS137" s="455"/>
      <c r="BT137" s="455"/>
      <c r="BU137" s="455"/>
      <c r="BV137" s="455"/>
      <c r="BW137" s="184">
        <f>((BW133/2)+AVERAGE(BS134:BX134)+BX136/6)/12*6</f>
        <v>1574.234457688709</v>
      </c>
      <c r="BX137" s="455"/>
      <c r="BY137" s="455"/>
      <c r="BZ137" s="455"/>
      <c r="CA137" s="455"/>
      <c r="CB137" s="455"/>
      <c r="CC137" s="184">
        <f>((CD133/2)+AVERAGE(BY134:CD134)+CE136/6)/12*6</f>
        <v>1579.1884390513028</v>
      </c>
      <c r="CD137" s="455"/>
      <c r="CE137" s="455"/>
      <c r="CF137" s="455"/>
      <c r="CG137" s="455"/>
      <c r="CH137" s="455"/>
      <c r="CI137" s="184">
        <f>((CI133/2)+AVERAGE(CE134:CJ134)+CJ136/6)/12*6</f>
        <v>1653.8058697269189</v>
      </c>
      <c r="CJ137" s="455"/>
      <c r="CK137" s="455"/>
      <c r="CL137" s="455"/>
      <c r="CM137" s="455"/>
      <c r="CN137" s="455"/>
      <c r="CO137" s="184">
        <f>((CP133/2)+AVERAGE(CK134:CP134)+CQ136/6)/12*6</f>
        <v>1659.106629784894</v>
      </c>
      <c r="CP137" s="455"/>
      <c r="CQ137" s="455"/>
      <c r="CR137" s="455"/>
      <c r="CS137" s="455"/>
      <c r="CT137" s="455"/>
      <c r="CU137" s="184">
        <f>((CU133/2)+AVERAGE(CQ134:CV134)+CV136/6)/12*6</f>
        <v>1738.9472806078029</v>
      </c>
      <c r="CV137" s="455"/>
      <c r="CW137" s="455"/>
      <c r="CX137" s="455"/>
      <c r="CY137" s="455"/>
      <c r="CZ137" s="455"/>
      <c r="DA137" s="184">
        <f>((DB133/2)+AVERAGE(CW134:DB134)+DC136/6)/12*6</f>
        <v>1744.6190938698364</v>
      </c>
      <c r="DB137" s="455"/>
      <c r="DC137" s="455"/>
      <c r="DD137" s="455"/>
      <c r="DE137" s="455"/>
      <c r="DF137" s="455"/>
      <c r="DG137" s="184">
        <f>((DG133/2)+AVERAGE(DC134:DH134)+DH136/6)/12*6</f>
        <v>1830.0485902503494</v>
      </c>
      <c r="DH137" s="455"/>
      <c r="DI137" s="455"/>
      <c r="DJ137" s="455"/>
      <c r="DK137" s="455"/>
      <c r="DL137" s="455"/>
      <c r="DM137" s="184">
        <f>((DN133/2)+AVERAGE(DI134:DN134)+DO136/6)/12*6</f>
        <v>1836.117430440725</v>
      </c>
      <c r="DN137" s="455"/>
      <c r="DO137" s="455"/>
      <c r="DP137" s="455"/>
      <c r="DQ137" s="455"/>
      <c r="DR137" s="455"/>
      <c r="DS137" s="184">
        <f>((DS133/2)+AVERAGE(DO134:DT134)+DT136/6)/12*6</f>
        <v>1927.5269915678741</v>
      </c>
      <c r="DT137" s="455"/>
    </row>
    <row r="138" spans="1:124" x14ac:dyDescent="0.25">
      <c r="A138" s="483"/>
      <c r="B138" s="832"/>
      <c r="C138" s="851"/>
      <c r="D138" s="438" t="s">
        <v>592</v>
      </c>
      <c r="E138" s="455"/>
      <c r="F138" s="455"/>
      <c r="G138" s="455"/>
      <c r="H138" s="455"/>
      <c r="I138" s="455"/>
      <c r="J138" s="455"/>
      <c r="K138" s="455"/>
      <c r="L138" s="184"/>
      <c r="M138" s="455"/>
      <c r="N138" s="455"/>
      <c r="O138" s="455"/>
      <c r="P138" s="455"/>
      <c r="Q138" s="455"/>
      <c r="R138" s="455"/>
      <c r="S138" s="455"/>
      <c r="T138" s="455"/>
      <c r="U138" s="455"/>
      <c r="V138" s="455"/>
      <c r="W138" s="455"/>
      <c r="X138" s="184">
        <f>((W133+AVERAGE(Q134:AB134))/24)*12</f>
        <v>1471.9949544699634</v>
      </c>
      <c r="Y138" s="455"/>
      <c r="Z138" s="455"/>
      <c r="AA138" s="455"/>
      <c r="AB138" s="455"/>
      <c r="AC138" s="455"/>
      <c r="AD138" s="455"/>
      <c r="AE138" s="455"/>
      <c r="AF138" s="455"/>
      <c r="AG138" s="455"/>
      <c r="AH138" s="455"/>
      <c r="AI138" s="455"/>
      <c r="AJ138" s="184">
        <f>((AI133+AVERAGE(AC134:AN134))/24)*12</f>
        <v>1520.9582435152365</v>
      </c>
      <c r="AK138" s="455"/>
      <c r="AL138" s="455"/>
      <c r="AM138" s="455"/>
      <c r="AN138" s="455"/>
      <c r="AO138" s="455"/>
      <c r="AP138" s="455"/>
      <c r="AQ138" s="455"/>
      <c r="AR138" s="455"/>
      <c r="AS138" s="455"/>
      <c r="AT138" s="455"/>
      <c r="AU138" s="455"/>
      <c r="AV138" s="184">
        <f>((AU133+AVERAGE(AO134:AZ134))/24)*12</f>
        <v>1574.9253205613031</v>
      </c>
      <c r="AW138" s="455"/>
      <c r="AX138" s="455"/>
      <c r="AY138" s="455"/>
      <c r="AZ138" s="455"/>
      <c r="BA138" s="455"/>
      <c r="BB138" s="455"/>
      <c r="BC138" s="455"/>
      <c r="BD138" s="455"/>
      <c r="BE138" s="455"/>
      <c r="BF138" s="455"/>
      <c r="BG138" s="455"/>
      <c r="BH138" s="184">
        <f>((BG133+AVERAGE(BA134:BL134))/24)*12</f>
        <v>1632.6700930005945</v>
      </c>
      <c r="BI138" s="455"/>
      <c r="BJ138" s="455"/>
      <c r="BK138" s="455"/>
      <c r="BL138" s="455"/>
      <c r="BM138" s="455"/>
      <c r="BN138" s="455"/>
      <c r="BO138" s="455"/>
      <c r="BP138" s="455"/>
      <c r="BQ138" s="455"/>
      <c r="BR138" s="455"/>
      <c r="BS138" s="455"/>
      <c r="BT138" s="184">
        <f>((BS133+AVERAGE(BM134:BX134))/24)*12</f>
        <v>1694.4569995106358</v>
      </c>
      <c r="BU138" s="455"/>
      <c r="BV138" s="455"/>
      <c r="BW138" s="455"/>
      <c r="BX138" s="455"/>
      <c r="BY138" s="455"/>
      <c r="BZ138" s="455"/>
      <c r="CA138" s="455"/>
      <c r="CB138" s="455"/>
      <c r="CC138" s="455"/>
      <c r="CD138" s="455"/>
      <c r="CE138" s="455"/>
      <c r="CF138" s="184">
        <f>((CE133+AVERAGE(BY134:CJ134))/24)*12</f>
        <v>1760.5689894763809</v>
      </c>
      <c r="CG138" s="455"/>
      <c r="CH138" s="455"/>
      <c r="CI138" s="455"/>
      <c r="CJ138" s="455"/>
      <c r="CK138" s="455"/>
      <c r="CL138" s="455"/>
      <c r="CM138" s="455"/>
      <c r="CN138" s="455"/>
      <c r="CO138" s="455"/>
      <c r="CP138" s="455"/>
      <c r="CQ138" s="455"/>
      <c r="CR138" s="184">
        <f>((CQ133+AVERAGE(CK134:CV134))/24)*12</f>
        <v>1831.3088187397273</v>
      </c>
      <c r="CS138" s="455"/>
      <c r="CT138" s="455"/>
      <c r="CU138" s="455"/>
      <c r="CV138" s="455"/>
      <c r="CW138" s="455"/>
      <c r="CX138" s="455"/>
      <c r="CY138" s="455"/>
      <c r="CZ138" s="455"/>
      <c r="DA138" s="455"/>
      <c r="DB138" s="455"/>
      <c r="DC138" s="455"/>
      <c r="DD138" s="184">
        <f>((DC133+AVERAGE(CW134:DH134))/24)*12</f>
        <v>1907.0004360515086</v>
      </c>
      <c r="DE138" s="455"/>
      <c r="DF138" s="455"/>
      <c r="DG138" s="455"/>
      <c r="DH138" s="455"/>
      <c r="DI138" s="455"/>
      <c r="DJ138" s="455"/>
      <c r="DK138" s="455"/>
      <c r="DL138" s="455"/>
      <c r="DM138" s="455"/>
      <c r="DN138" s="455"/>
      <c r="DO138" s="455"/>
      <c r="DP138" s="184">
        <f>((DO133+AVERAGE(DI134:DT134))/24)*12</f>
        <v>1987.9904665751137</v>
      </c>
      <c r="DQ138" s="455"/>
      <c r="DR138" s="455"/>
      <c r="DS138" s="455"/>
      <c r="DT138" s="455"/>
    </row>
    <row r="139" spans="1:124" x14ac:dyDescent="0.25">
      <c r="A139" s="483"/>
      <c r="B139" s="832"/>
      <c r="C139" s="851"/>
      <c r="D139" s="438" t="s">
        <v>272</v>
      </c>
      <c r="E139" s="455">
        <f>E135*9%</f>
        <v>219.44979665938962</v>
      </c>
      <c r="F139" s="455">
        <f t="shared" ref="F139:BQ139" si="170">F135*9%</f>
        <v>237.6287887790528</v>
      </c>
      <c r="G139" s="455">
        <f t="shared" si="170"/>
        <v>253.85777058501967</v>
      </c>
      <c r="H139" s="455">
        <f t="shared" si="170"/>
        <v>229.04399871932614</v>
      </c>
      <c r="I139" s="455">
        <f t="shared" si="170"/>
        <v>231.44061510948546</v>
      </c>
      <c r="J139" s="455">
        <f t="shared" si="170"/>
        <v>258.11989306408805</v>
      </c>
      <c r="K139" s="455">
        <f t="shared" si="170"/>
        <v>265.18218213088898</v>
      </c>
      <c r="L139" s="455">
        <f t="shared" si="170"/>
        <v>273.12256498003444</v>
      </c>
      <c r="M139" s="455">
        <f t="shared" si="170"/>
        <v>276.9602661242015</v>
      </c>
      <c r="N139" s="455">
        <f t="shared" si="170"/>
        <v>269.97318912128873</v>
      </c>
      <c r="O139" s="455">
        <f t="shared" si="170"/>
        <v>265.61737873990307</v>
      </c>
      <c r="P139" s="455">
        <f t="shared" si="170"/>
        <v>252.82758771255351</v>
      </c>
      <c r="Q139" s="455">
        <f t="shared" si="170"/>
        <v>301.69093672692998</v>
      </c>
      <c r="R139" s="455">
        <f t="shared" si="170"/>
        <v>285.99374204574286</v>
      </c>
      <c r="S139" s="455">
        <f t="shared" si="170"/>
        <v>257.02284627639489</v>
      </c>
      <c r="T139" s="455">
        <f t="shared" si="170"/>
        <v>235.81172229870623</v>
      </c>
      <c r="U139" s="455">
        <f t="shared" si="170"/>
        <v>233.83619146541827</v>
      </c>
      <c r="V139" s="455">
        <f t="shared" si="170"/>
        <v>252.36564814075572</v>
      </c>
      <c r="W139" s="455">
        <f t="shared" si="170"/>
        <v>268.42182587899225</v>
      </c>
      <c r="X139" s="455">
        <f t="shared" si="170"/>
        <v>273.61213495103357</v>
      </c>
      <c r="Y139" s="455">
        <f t="shared" si="170"/>
        <v>283.30337658314409</v>
      </c>
      <c r="Z139" s="455">
        <f t="shared" si="170"/>
        <v>273.93863565060514</v>
      </c>
      <c r="AA139" s="455">
        <f t="shared" si="170"/>
        <v>258.99325834597494</v>
      </c>
      <c r="AB139" s="455">
        <f t="shared" si="170"/>
        <v>254.51878329142289</v>
      </c>
      <c r="AC139" s="455">
        <f t="shared" si="170"/>
        <v>312.72068823899502</v>
      </c>
      <c r="AD139" s="455">
        <f t="shared" si="170"/>
        <v>294.62627556408796</v>
      </c>
      <c r="AE139" s="455">
        <f t="shared" si="170"/>
        <v>264.73515522135068</v>
      </c>
      <c r="AF139" s="455">
        <f t="shared" si="170"/>
        <v>242.86854285961564</v>
      </c>
      <c r="AG139" s="455">
        <f t="shared" si="170"/>
        <v>240.75472486799751</v>
      </c>
      <c r="AH139" s="455">
        <f t="shared" si="170"/>
        <v>260.5812435106086</v>
      </c>
      <c r="AI139" s="455">
        <f t="shared" si="170"/>
        <v>277.76135369052167</v>
      </c>
      <c r="AJ139" s="455">
        <f t="shared" si="170"/>
        <v>283.31498439760594</v>
      </c>
      <c r="AK139" s="455">
        <f t="shared" si="170"/>
        <v>293.68461294396417</v>
      </c>
      <c r="AL139" s="455">
        <f t="shared" si="170"/>
        <v>283.66434014614748</v>
      </c>
      <c r="AM139" s="455">
        <f t="shared" si="170"/>
        <v>267.67278643019318</v>
      </c>
      <c r="AN139" s="455">
        <f t="shared" si="170"/>
        <v>262.88509812182252</v>
      </c>
      <c r="AO139" s="455">
        <f t="shared" si="170"/>
        <v>325.16113641572468</v>
      </c>
      <c r="AP139" s="455">
        <f t="shared" si="170"/>
        <v>305.80011485357414</v>
      </c>
      <c r="AQ139" s="455">
        <f t="shared" si="170"/>
        <v>273.81661608684527</v>
      </c>
      <c r="AR139" s="455">
        <f t="shared" si="170"/>
        <v>250.4193408597888</v>
      </c>
      <c r="AS139" s="455">
        <f t="shared" si="170"/>
        <v>248.15755560875738</v>
      </c>
      <c r="AT139" s="455">
        <f t="shared" si="170"/>
        <v>269.37193055635129</v>
      </c>
      <c r="AU139" s="455">
        <f t="shared" si="170"/>
        <v>287.75464844885823</v>
      </c>
      <c r="AV139" s="455">
        <f t="shared" si="170"/>
        <v>293.69703330543831</v>
      </c>
      <c r="AW139" s="455">
        <f t="shared" si="170"/>
        <v>304.79253585004165</v>
      </c>
      <c r="AX139" s="455">
        <f t="shared" si="170"/>
        <v>294.07084395637787</v>
      </c>
      <c r="AY139" s="455">
        <f t="shared" si="170"/>
        <v>276.95988148030676</v>
      </c>
      <c r="AZ139" s="455">
        <f t="shared" si="170"/>
        <v>271.83705499035011</v>
      </c>
      <c r="BA139" s="455">
        <f t="shared" si="170"/>
        <v>338.47241596482542</v>
      </c>
      <c r="BB139" s="455">
        <f t="shared" si="170"/>
        <v>317.75612289332435</v>
      </c>
      <c r="BC139" s="455">
        <f t="shared" si="170"/>
        <v>283.53377921292446</v>
      </c>
      <c r="BD139" s="455">
        <f t="shared" si="170"/>
        <v>258.49869471997397</v>
      </c>
      <c r="BE139" s="455">
        <f t="shared" si="170"/>
        <v>256.07858450137041</v>
      </c>
      <c r="BF139" s="455">
        <f t="shared" si="170"/>
        <v>278.77796569529585</v>
      </c>
      <c r="BG139" s="455">
        <f t="shared" si="170"/>
        <v>298.44747384027835</v>
      </c>
      <c r="BH139" s="455">
        <f t="shared" si="170"/>
        <v>304.80582563681907</v>
      </c>
      <c r="BI139" s="455">
        <f t="shared" si="170"/>
        <v>316.67801335954465</v>
      </c>
      <c r="BJ139" s="455">
        <f t="shared" si="170"/>
        <v>305.20580303332429</v>
      </c>
      <c r="BK139" s="455">
        <f t="shared" si="170"/>
        <v>286.89707318392823</v>
      </c>
      <c r="BL139" s="455">
        <f t="shared" si="170"/>
        <v>281.41564883967465</v>
      </c>
      <c r="BM139" s="455">
        <f t="shared" si="170"/>
        <v>352.71548508236316</v>
      </c>
      <c r="BN139" s="455">
        <f t="shared" si="170"/>
        <v>330.54905149585704</v>
      </c>
      <c r="BO139" s="455">
        <f t="shared" si="170"/>
        <v>293.93114375782915</v>
      </c>
      <c r="BP139" s="455">
        <f t="shared" si="170"/>
        <v>267.14360335037219</v>
      </c>
      <c r="BQ139" s="455">
        <f t="shared" si="170"/>
        <v>264.55408541646636</v>
      </c>
      <c r="BR139" s="455">
        <f t="shared" ref="BR139:DT139" si="171">BR135*9%</f>
        <v>288.84242329396659</v>
      </c>
      <c r="BS139" s="455">
        <f t="shared" si="171"/>
        <v>309.88879700909786</v>
      </c>
      <c r="BT139" s="455">
        <f t="shared" si="171"/>
        <v>316.6922334313964</v>
      </c>
      <c r="BU139" s="455">
        <f t="shared" si="171"/>
        <v>329.3954742947127</v>
      </c>
      <c r="BV139" s="455">
        <f t="shared" si="171"/>
        <v>317.12020924565701</v>
      </c>
      <c r="BW139" s="455">
        <f t="shared" si="171"/>
        <v>297.52986830680328</v>
      </c>
      <c r="BX139" s="455">
        <f t="shared" si="171"/>
        <v>291.66474425845183</v>
      </c>
      <c r="BY139" s="455">
        <f t="shared" si="171"/>
        <v>367.95556903812866</v>
      </c>
      <c r="BZ139" s="455">
        <f t="shared" si="171"/>
        <v>344.23748510056703</v>
      </c>
      <c r="CA139" s="455">
        <f t="shared" si="171"/>
        <v>305.05632382087725</v>
      </c>
      <c r="CB139" s="455">
        <f t="shared" si="171"/>
        <v>276.39365558489823</v>
      </c>
      <c r="CC139" s="455">
        <f t="shared" si="171"/>
        <v>273.62287139561897</v>
      </c>
      <c r="CD139" s="455">
        <f t="shared" si="171"/>
        <v>299.6113929245443</v>
      </c>
      <c r="CE139" s="455">
        <f t="shared" si="171"/>
        <v>322.13101279973466</v>
      </c>
      <c r="CF139" s="455">
        <f t="shared" si="171"/>
        <v>329.41068977159421</v>
      </c>
      <c r="CG139" s="455">
        <f t="shared" si="171"/>
        <v>343.00315749534269</v>
      </c>
      <c r="CH139" s="455">
        <f t="shared" si="171"/>
        <v>329.86862389285301</v>
      </c>
      <c r="CI139" s="455">
        <f t="shared" si="171"/>
        <v>308.90695908827951</v>
      </c>
      <c r="CJ139" s="455">
        <f t="shared" si="171"/>
        <v>302.63127635654354</v>
      </c>
      <c r="CK139" s="455">
        <f t="shared" si="171"/>
        <v>384.26245887079762</v>
      </c>
      <c r="CL139" s="455">
        <f t="shared" si="171"/>
        <v>358.88410905760679</v>
      </c>
      <c r="CM139" s="455">
        <f t="shared" si="171"/>
        <v>316.96026648833862</v>
      </c>
      <c r="CN139" s="455">
        <f t="shared" si="171"/>
        <v>286.29121147584118</v>
      </c>
      <c r="CO139" s="455">
        <f t="shared" si="171"/>
        <v>283.32647239331237</v>
      </c>
      <c r="CP139" s="455">
        <f t="shared" si="171"/>
        <v>311.13419042926239</v>
      </c>
      <c r="CQ139" s="455">
        <f t="shared" si="171"/>
        <v>335.23018369571611</v>
      </c>
      <c r="CR139" s="455">
        <f t="shared" si="171"/>
        <v>343.01943805560575</v>
      </c>
      <c r="CS139" s="455">
        <f t="shared" si="171"/>
        <v>357.56337852001667</v>
      </c>
      <c r="CT139" s="455">
        <f t="shared" si="171"/>
        <v>343.50942756535272</v>
      </c>
      <c r="CU139" s="455">
        <f t="shared" si="171"/>
        <v>321.08044622445908</v>
      </c>
      <c r="CV139" s="455">
        <f t="shared" si="171"/>
        <v>314.36546570150153</v>
      </c>
      <c r="CW139" s="455">
        <f t="shared" si="171"/>
        <v>401.71083099175354</v>
      </c>
      <c r="CX139" s="455">
        <f t="shared" si="171"/>
        <v>374.55599669163928</v>
      </c>
      <c r="CY139" s="455">
        <f t="shared" si="171"/>
        <v>329.69748514252228</v>
      </c>
      <c r="CZ139" s="455">
        <f t="shared" si="171"/>
        <v>296.88159627915002</v>
      </c>
      <c r="DA139" s="455">
        <f t="shared" si="171"/>
        <v>293.70932546084418</v>
      </c>
      <c r="DB139" s="455">
        <f t="shared" si="171"/>
        <v>323.46358375931072</v>
      </c>
      <c r="DC139" s="455">
        <f t="shared" si="171"/>
        <v>349.24629655441623</v>
      </c>
      <c r="DD139" s="455">
        <f t="shared" si="171"/>
        <v>357.5807987194982</v>
      </c>
      <c r="DE139" s="455">
        <f t="shared" si="171"/>
        <v>373.14281501641784</v>
      </c>
      <c r="DF139" s="455">
        <f t="shared" si="171"/>
        <v>358.10508749492743</v>
      </c>
      <c r="DG139" s="455">
        <f t="shared" si="171"/>
        <v>334.10607746017115</v>
      </c>
      <c r="DH139" s="455">
        <f t="shared" si="171"/>
        <v>326.92104830060669</v>
      </c>
      <c r="DI139" s="455">
        <f t="shared" si="171"/>
        <v>420.38058916117626</v>
      </c>
      <c r="DJ139" s="455">
        <f t="shared" si="171"/>
        <v>391.324916460054</v>
      </c>
      <c r="DK139" s="455">
        <f t="shared" si="171"/>
        <v>343.3263091024989</v>
      </c>
      <c r="DL139" s="455">
        <f t="shared" si="171"/>
        <v>308.2133080186905</v>
      </c>
      <c r="DM139" s="455">
        <f t="shared" si="171"/>
        <v>304.81897824310323</v>
      </c>
      <c r="DN139" s="455">
        <f t="shared" si="171"/>
        <v>336.65603462246253</v>
      </c>
      <c r="DO139" s="455">
        <f t="shared" si="171"/>
        <v>364.24353731322537</v>
      </c>
      <c r="DP139" s="455">
        <f t="shared" si="171"/>
        <v>373.16145462986299</v>
      </c>
      <c r="DQ139" s="455">
        <f t="shared" si="171"/>
        <v>389.81281206756705</v>
      </c>
      <c r="DR139" s="455">
        <f t="shared" si="171"/>
        <v>373.7224436195724</v>
      </c>
      <c r="DS139" s="455">
        <f t="shared" si="171"/>
        <v>348.04350288238317</v>
      </c>
      <c r="DT139" s="455">
        <f t="shared" si="171"/>
        <v>340.35552168164918</v>
      </c>
    </row>
    <row r="140" spans="1:124" ht="25.5" x14ac:dyDescent="0.25">
      <c r="A140" s="483"/>
      <c r="B140" s="833"/>
      <c r="C140" s="852"/>
      <c r="D140" s="484" t="s">
        <v>277</v>
      </c>
      <c r="E140" s="454">
        <f>SUM(E135:E139)-E134</f>
        <v>1719.4497966593894</v>
      </c>
      <c r="F140" s="454">
        <f t="shared" ref="F140:BQ140" si="172">SUM(F135:F139)-F134</f>
        <v>1737.6287887790529</v>
      </c>
      <c r="G140" s="454">
        <f t="shared" si="172"/>
        <v>1753.8577705850198</v>
      </c>
      <c r="H140" s="454">
        <f t="shared" si="172"/>
        <v>1729.0439987193265</v>
      </c>
      <c r="I140" s="454">
        <f t="shared" si="172"/>
        <v>2551.3732465393382</v>
      </c>
      <c r="J140" s="454">
        <f t="shared" si="172"/>
        <v>1758.1198930640878</v>
      </c>
      <c r="K140" s="454">
        <f t="shared" si="172"/>
        <v>3662.4800764204469</v>
      </c>
      <c r="L140" s="454">
        <f t="shared" si="172"/>
        <v>1773.1225649800344</v>
      </c>
      <c r="M140" s="454">
        <f t="shared" si="172"/>
        <v>1776.9602661242013</v>
      </c>
      <c r="N140" s="454">
        <f t="shared" si="172"/>
        <v>1769.9731891212887</v>
      </c>
      <c r="O140" s="454">
        <f t="shared" si="172"/>
        <v>3060.4911722062757</v>
      </c>
      <c r="P140" s="454">
        <f t="shared" si="172"/>
        <v>3972.6112336549058</v>
      </c>
      <c r="Q140" s="454">
        <f t="shared" si="172"/>
        <v>1801.6909367269302</v>
      </c>
      <c r="R140" s="454">
        <f t="shared" si="172"/>
        <v>1785.9937420457427</v>
      </c>
      <c r="S140" s="454">
        <f t="shared" si="172"/>
        <v>1757.0228462763948</v>
      </c>
      <c r="T140" s="454">
        <f t="shared" si="172"/>
        <v>1735.8117222987064</v>
      </c>
      <c r="U140" s="454">
        <f t="shared" si="172"/>
        <v>2988.7818100885106</v>
      </c>
      <c r="V140" s="454">
        <f t="shared" si="172"/>
        <v>1752.3656481407556</v>
      </c>
      <c r="W140" s="454">
        <f t="shared" si="172"/>
        <v>3919.7571720900069</v>
      </c>
      <c r="X140" s="454">
        <f t="shared" si="172"/>
        <v>3245.6070894209979</v>
      </c>
      <c r="Y140" s="454">
        <f t="shared" si="172"/>
        <v>1783.303376583144</v>
      </c>
      <c r="Z140" s="454">
        <f t="shared" si="172"/>
        <v>1773.9386356506052</v>
      </c>
      <c r="AA140" s="454">
        <f t="shared" si="172"/>
        <v>3063.7025334861305</v>
      </c>
      <c r="AB140" s="454">
        <f t="shared" si="172"/>
        <v>3991.1632549602614</v>
      </c>
      <c r="AC140" s="454">
        <f t="shared" si="172"/>
        <v>1812.7206882389953</v>
      </c>
      <c r="AD140" s="454">
        <f t="shared" si="172"/>
        <v>1794.6262755640878</v>
      </c>
      <c r="AE140" s="454">
        <f t="shared" si="172"/>
        <v>1764.7351552213506</v>
      </c>
      <c r="AF140" s="454">
        <f t="shared" si="172"/>
        <v>1742.8685428596154</v>
      </c>
      <c r="AG140" s="454">
        <f t="shared" si="172"/>
        <v>3049.2433686702489</v>
      </c>
      <c r="AH140" s="454">
        <f t="shared" si="172"/>
        <v>1760.5812435106086</v>
      </c>
      <c r="AI140" s="454">
        <f t="shared" si="172"/>
        <v>4020.8847430658102</v>
      </c>
      <c r="AJ140" s="454">
        <f t="shared" si="172"/>
        <v>3304.2732279128431</v>
      </c>
      <c r="AK140" s="454">
        <f t="shared" si="172"/>
        <v>1793.6846129439641</v>
      </c>
      <c r="AL140" s="454">
        <f t="shared" si="172"/>
        <v>1783.6643401461472</v>
      </c>
      <c r="AM140" s="454">
        <f t="shared" si="172"/>
        <v>3133.08671083016</v>
      </c>
      <c r="AN140" s="454">
        <f t="shared" si="172"/>
        <v>4103.5946828074793</v>
      </c>
      <c r="AO140" s="454">
        <f t="shared" si="172"/>
        <v>1825.1611364157247</v>
      </c>
      <c r="AP140" s="454">
        <f t="shared" si="172"/>
        <v>1805.8001148535743</v>
      </c>
      <c r="AQ140" s="454">
        <f t="shared" si="172"/>
        <v>1773.8166160868454</v>
      </c>
      <c r="AR140" s="454">
        <f t="shared" si="172"/>
        <v>1750.4193408597891</v>
      </c>
      <c r="AS140" s="454">
        <f t="shared" si="172"/>
        <v>3117.6154044771665</v>
      </c>
      <c r="AT140" s="454">
        <f t="shared" si="172"/>
        <v>1769.3719305563516</v>
      </c>
      <c r="AU140" s="454">
        <f t="shared" si="172"/>
        <v>4135.3966750804166</v>
      </c>
      <c r="AV140" s="454">
        <f t="shared" si="172"/>
        <v>3368.6223538667418</v>
      </c>
      <c r="AW140" s="454">
        <f t="shared" si="172"/>
        <v>1804.7925358500413</v>
      </c>
      <c r="AX140" s="454">
        <f t="shared" si="172"/>
        <v>1794.0708439563778</v>
      </c>
      <c r="AY140" s="454">
        <f t="shared" si="172"/>
        <v>3207.3277805882708</v>
      </c>
      <c r="AZ140" s="454">
        <f t="shared" si="172"/>
        <v>4223.8963106040046</v>
      </c>
      <c r="BA140" s="454">
        <f t="shared" si="172"/>
        <v>1838.4724159648258</v>
      </c>
      <c r="BB140" s="454">
        <f t="shared" si="172"/>
        <v>1817.7561228933241</v>
      </c>
      <c r="BC140" s="454">
        <f t="shared" si="172"/>
        <v>1783.5337792129244</v>
      </c>
      <c r="BD140" s="454">
        <f t="shared" si="172"/>
        <v>1758.4986947199739</v>
      </c>
      <c r="BE140" s="454">
        <f t="shared" si="172"/>
        <v>3190.7734827905679</v>
      </c>
      <c r="BF140" s="454">
        <f t="shared" si="172"/>
        <v>1778.7779656952955</v>
      </c>
      <c r="BG140" s="454">
        <f t="shared" si="172"/>
        <v>4257.924442336046</v>
      </c>
      <c r="BH140" s="454">
        <f t="shared" si="172"/>
        <v>3437.475918637414</v>
      </c>
      <c r="BI140" s="454">
        <f t="shared" si="172"/>
        <v>1816.678013359545</v>
      </c>
      <c r="BJ140" s="454">
        <f t="shared" si="172"/>
        <v>1805.2058030333244</v>
      </c>
      <c r="BK140" s="454">
        <f t="shared" si="172"/>
        <v>3286.7657252294503</v>
      </c>
      <c r="BL140" s="454">
        <f t="shared" si="172"/>
        <v>4352.6190523462847</v>
      </c>
      <c r="BM140" s="454">
        <f t="shared" si="172"/>
        <v>1852.7154850823636</v>
      </c>
      <c r="BN140" s="454">
        <f t="shared" si="172"/>
        <v>1830.5490514958569</v>
      </c>
      <c r="BO140" s="454">
        <f t="shared" si="172"/>
        <v>1793.931143757829</v>
      </c>
      <c r="BP140" s="454">
        <f t="shared" si="172"/>
        <v>1767.1436033503726</v>
      </c>
      <c r="BQ140" s="454">
        <f t="shared" si="172"/>
        <v>3269.052626585908</v>
      </c>
      <c r="BR140" s="454">
        <f t="shared" ref="BR140:DS140" si="173">SUM(BR135:BR139)-BR134</f>
        <v>1788.8424232939662</v>
      </c>
      <c r="BS140" s="454">
        <f t="shared" si="173"/>
        <v>4389.0291532995689</v>
      </c>
      <c r="BT140" s="454">
        <f t="shared" si="173"/>
        <v>3511.1492329420325</v>
      </c>
      <c r="BU140" s="454">
        <f t="shared" si="173"/>
        <v>1829.3954742947126</v>
      </c>
      <c r="BV140" s="454">
        <f t="shared" si="173"/>
        <v>1817.1202092456567</v>
      </c>
      <c r="BW140" s="454">
        <f t="shared" si="173"/>
        <v>3371.7643259955121</v>
      </c>
      <c r="BX140" s="454">
        <f t="shared" si="173"/>
        <v>4490.3523860105242</v>
      </c>
      <c r="BY140" s="454">
        <f t="shared" si="173"/>
        <v>1867.9555690381285</v>
      </c>
      <c r="BZ140" s="454">
        <f t="shared" si="173"/>
        <v>1844.237485100567</v>
      </c>
      <c r="CA140" s="454">
        <f t="shared" si="173"/>
        <v>1805.0563238208777</v>
      </c>
      <c r="CB140" s="454">
        <f t="shared" si="173"/>
        <v>1776.3936555848982</v>
      </c>
      <c r="CC140" s="454">
        <f t="shared" si="173"/>
        <v>3352.8113104469212</v>
      </c>
      <c r="CD140" s="454">
        <f t="shared" si="173"/>
        <v>1799.6113929245446</v>
      </c>
      <c r="CE140" s="454">
        <f t="shared" si="173"/>
        <v>4529.3111940305389</v>
      </c>
      <c r="CF140" s="454">
        <f t="shared" si="173"/>
        <v>3589.9796792479747</v>
      </c>
      <c r="CG140" s="454">
        <f t="shared" si="173"/>
        <v>1843.0031574953423</v>
      </c>
      <c r="CH140" s="454">
        <f t="shared" si="173"/>
        <v>1829.8686238928531</v>
      </c>
      <c r="CI140" s="454">
        <f t="shared" si="173"/>
        <v>3462.712828815198</v>
      </c>
      <c r="CJ140" s="454">
        <f t="shared" si="173"/>
        <v>4637.7270530312617</v>
      </c>
      <c r="CK140" s="454">
        <f t="shared" si="173"/>
        <v>1884.2624588707972</v>
      </c>
      <c r="CL140" s="454">
        <f t="shared" si="173"/>
        <v>1858.8841090576066</v>
      </c>
      <c r="CM140" s="454">
        <f t="shared" si="173"/>
        <v>1816.9602664883387</v>
      </c>
      <c r="CN140" s="454">
        <f t="shared" si="173"/>
        <v>1786.2912114758412</v>
      </c>
      <c r="CO140" s="454">
        <f t="shared" si="173"/>
        <v>3442.4331021782064</v>
      </c>
      <c r="CP140" s="454">
        <f t="shared" si="173"/>
        <v>1811.1341904292622</v>
      </c>
      <c r="CQ140" s="454">
        <f t="shared" si="173"/>
        <v>4679.4129776126774</v>
      </c>
      <c r="CR140" s="454">
        <f t="shared" si="173"/>
        <v>3674.3282567953329</v>
      </c>
      <c r="CS140" s="454">
        <f t="shared" si="173"/>
        <v>1857.5633785200171</v>
      </c>
      <c r="CT140" s="454">
        <f t="shared" si="173"/>
        <v>1843.5094275653528</v>
      </c>
      <c r="CU140" s="454">
        <f t="shared" si="173"/>
        <v>3560.0277268322616</v>
      </c>
      <c r="CV140" s="454">
        <f t="shared" si="173"/>
        <v>4795.4179467434487</v>
      </c>
      <c r="CW140" s="454">
        <f t="shared" si="173"/>
        <v>1901.7108309917539</v>
      </c>
      <c r="CX140" s="454">
        <f t="shared" si="173"/>
        <v>1874.5559966916394</v>
      </c>
      <c r="CY140" s="454">
        <f t="shared" si="173"/>
        <v>1829.6974851425221</v>
      </c>
      <c r="CZ140" s="454">
        <f t="shared" si="173"/>
        <v>1796.8815962791502</v>
      </c>
      <c r="DA140" s="454">
        <f t="shared" si="173"/>
        <v>3538.3284193306804</v>
      </c>
      <c r="DB140" s="454">
        <f t="shared" si="173"/>
        <v>1823.4635837593109</v>
      </c>
      <c r="DC140" s="454">
        <f t="shared" si="173"/>
        <v>4840.0218860455643</v>
      </c>
      <c r="DD140" s="454">
        <f t="shared" si="173"/>
        <v>3764.5812347710071</v>
      </c>
      <c r="DE140" s="454">
        <f t="shared" si="173"/>
        <v>1873.1428150164174</v>
      </c>
      <c r="DF140" s="454">
        <f t="shared" si="173"/>
        <v>1858.1050874949278</v>
      </c>
      <c r="DG140" s="454">
        <f t="shared" si="173"/>
        <v>3664.1546677105202</v>
      </c>
      <c r="DH140" s="454">
        <f t="shared" si="173"/>
        <v>4964.147203015491</v>
      </c>
      <c r="DI140" s="454">
        <f t="shared" si="173"/>
        <v>1920.3805891611764</v>
      </c>
      <c r="DJ140" s="454">
        <f t="shared" si="173"/>
        <v>1891.3249164600543</v>
      </c>
      <c r="DK140" s="454">
        <f t="shared" si="173"/>
        <v>1843.3263091024992</v>
      </c>
      <c r="DL140" s="454">
        <f t="shared" si="173"/>
        <v>1808.2133080186907</v>
      </c>
      <c r="DM140" s="454">
        <f t="shared" si="173"/>
        <v>3640.9364086838286</v>
      </c>
      <c r="DN140" s="454">
        <f t="shared" si="173"/>
        <v>1836.6560346224624</v>
      </c>
      <c r="DO140" s="454">
        <f t="shared" si="173"/>
        <v>5011.8734180687543</v>
      </c>
      <c r="DP140" s="454">
        <f t="shared" si="173"/>
        <v>3861.1519212049766</v>
      </c>
      <c r="DQ140" s="454">
        <f t="shared" si="173"/>
        <v>1889.8128120675674</v>
      </c>
      <c r="DR140" s="454">
        <f t="shared" si="173"/>
        <v>1873.722443619572</v>
      </c>
      <c r="DS140" s="454">
        <f t="shared" si="173"/>
        <v>3775.5704944502568</v>
      </c>
      <c r="DT140" s="454">
        <f>SUM(DT135:DT139)-DT134</f>
        <v>5144.6875072265757</v>
      </c>
    </row>
    <row r="141" spans="1:124" x14ac:dyDescent="0.25">
      <c r="A141" s="435"/>
      <c r="B141" s="831" t="s">
        <v>262</v>
      </c>
      <c r="C141" s="825" t="s">
        <v>274</v>
      </c>
      <c r="D141" s="438" t="s">
        <v>254</v>
      </c>
      <c r="E141" s="184">
        <f>F87</f>
        <v>7000</v>
      </c>
      <c r="F141" s="184">
        <f t="shared" ref="F141:AB141" si="174">E141</f>
        <v>7000</v>
      </c>
      <c r="G141" s="184">
        <f t="shared" si="174"/>
        <v>7000</v>
      </c>
      <c r="H141" s="184">
        <f t="shared" si="174"/>
        <v>7000</v>
      </c>
      <c r="I141" s="184">
        <f t="shared" si="174"/>
        <v>7000</v>
      </c>
      <c r="J141" s="184">
        <f t="shared" si="174"/>
        <v>7000</v>
      </c>
      <c r="K141" s="184">
        <f t="shared" si="174"/>
        <v>7000</v>
      </c>
      <c r="L141" s="184">
        <f t="shared" si="174"/>
        <v>7000</v>
      </c>
      <c r="M141" s="184">
        <f t="shared" si="174"/>
        <v>7000</v>
      </c>
      <c r="N141" s="184">
        <f t="shared" si="174"/>
        <v>7000</v>
      </c>
      <c r="O141" s="184">
        <f t="shared" si="174"/>
        <v>7000</v>
      </c>
      <c r="P141" s="184">
        <f t="shared" si="174"/>
        <v>7000</v>
      </c>
      <c r="Q141" s="184">
        <f>U87</f>
        <v>7000</v>
      </c>
      <c r="R141" s="184">
        <f t="shared" si="174"/>
        <v>7000</v>
      </c>
      <c r="S141" s="184">
        <f t="shared" si="174"/>
        <v>7000</v>
      </c>
      <c r="T141" s="184">
        <f t="shared" si="174"/>
        <v>7000</v>
      </c>
      <c r="U141" s="184">
        <f t="shared" si="174"/>
        <v>7000</v>
      </c>
      <c r="V141" s="184">
        <f t="shared" si="174"/>
        <v>7000</v>
      </c>
      <c r="W141" s="184">
        <f t="shared" si="174"/>
        <v>7000</v>
      </c>
      <c r="X141" s="184">
        <f t="shared" si="174"/>
        <v>7000</v>
      </c>
      <c r="Y141" s="184">
        <f t="shared" si="174"/>
        <v>7000</v>
      </c>
      <c r="Z141" s="184">
        <f t="shared" si="174"/>
        <v>7000</v>
      </c>
      <c r="AA141" s="184">
        <f t="shared" si="174"/>
        <v>7000</v>
      </c>
      <c r="AB141" s="184">
        <f t="shared" si="174"/>
        <v>7000</v>
      </c>
      <c r="AC141" s="184">
        <f>AG87</f>
        <v>7000</v>
      </c>
      <c r="AD141" s="184">
        <f t="shared" ref="AD141:AN141" si="175">AC141</f>
        <v>7000</v>
      </c>
      <c r="AE141" s="184">
        <f t="shared" si="175"/>
        <v>7000</v>
      </c>
      <c r="AF141" s="184">
        <f t="shared" si="175"/>
        <v>7000</v>
      </c>
      <c r="AG141" s="184">
        <f t="shared" si="175"/>
        <v>7000</v>
      </c>
      <c r="AH141" s="184">
        <f t="shared" si="175"/>
        <v>7000</v>
      </c>
      <c r="AI141" s="184">
        <f t="shared" si="175"/>
        <v>7000</v>
      </c>
      <c r="AJ141" s="184">
        <f t="shared" si="175"/>
        <v>7000</v>
      </c>
      <c r="AK141" s="184">
        <f t="shared" si="175"/>
        <v>7000</v>
      </c>
      <c r="AL141" s="184">
        <f t="shared" si="175"/>
        <v>7000</v>
      </c>
      <c r="AM141" s="184">
        <f t="shared" si="175"/>
        <v>7000</v>
      </c>
      <c r="AN141" s="184">
        <f t="shared" si="175"/>
        <v>7000</v>
      </c>
      <c r="AO141" s="184">
        <f>AS87</f>
        <v>7000</v>
      </c>
      <c r="AP141" s="184">
        <f t="shared" ref="AP141:AZ141" si="176">AO141</f>
        <v>7000</v>
      </c>
      <c r="AQ141" s="184">
        <f t="shared" si="176"/>
        <v>7000</v>
      </c>
      <c r="AR141" s="184">
        <f t="shared" si="176"/>
        <v>7000</v>
      </c>
      <c r="AS141" s="184">
        <f t="shared" si="176"/>
        <v>7000</v>
      </c>
      <c r="AT141" s="184">
        <f t="shared" si="176"/>
        <v>7000</v>
      </c>
      <c r="AU141" s="184">
        <f t="shared" si="176"/>
        <v>7000</v>
      </c>
      <c r="AV141" s="184">
        <f t="shared" si="176"/>
        <v>7000</v>
      </c>
      <c r="AW141" s="184">
        <f t="shared" si="176"/>
        <v>7000</v>
      </c>
      <c r="AX141" s="184">
        <f t="shared" si="176"/>
        <v>7000</v>
      </c>
      <c r="AY141" s="184">
        <f t="shared" si="176"/>
        <v>7000</v>
      </c>
      <c r="AZ141" s="184">
        <f t="shared" si="176"/>
        <v>7000</v>
      </c>
      <c r="BA141" s="184">
        <f>BE87</f>
        <v>7000</v>
      </c>
      <c r="BB141" s="184">
        <f t="shared" ref="BB141:BL141" si="177">BA141</f>
        <v>7000</v>
      </c>
      <c r="BC141" s="184">
        <f t="shared" si="177"/>
        <v>7000</v>
      </c>
      <c r="BD141" s="184">
        <f t="shared" si="177"/>
        <v>7000</v>
      </c>
      <c r="BE141" s="184">
        <f t="shared" si="177"/>
        <v>7000</v>
      </c>
      <c r="BF141" s="184">
        <f t="shared" si="177"/>
        <v>7000</v>
      </c>
      <c r="BG141" s="184">
        <f t="shared" si="177"/>
        <v>7000</v>
      </c>
      <c r="BH141" s="184">
        <f t="shared" si="177"/>
        <v>7000</v>
      </c>
      <c r="BI141" s="184">
        <f t="shared" si="177"/>
        <v>7000</v>
      </c>
      <c r="BJ141" s="184">
        <f t="shared" si="177"/>
        <v>7000</v>
      </c>
      <c r="BK141" s="184">
        <f t="shared" si="177"/>
        <v>7000</v>
      </c>
      <c r="BL141" s="184">
        <f t="shared" si="177"/>
        <v>7000</v>
      </c>
      <c r="BM141" s="184">
        <f>BQ87</f>
        <v>7000</v>
      </c>
      <c r="BN141" s="184">
        <f t="shared" ref="BN141:BX141" si="178">BM141</f>
        <v>7000</v>
      </c>
      <c r="BO141" s="184">
        <f t="shared" si="178"/>
        <v>7000</v>
      </c>
      <c r="BP141" s="184">
        <f t="shared" si="178"/>
        <v>7000</v>
      </c>
      <c r="BQ141" s="184">
        <f t="shared" si="178"/>
        <v>7000</v>
      </c>
      <c r="BR141" s="184">
        <f t="shared" si="178"/>
        <v>7000</v>
      </c>
      <c r="BS141" s="184">
        <f t="shared" si="178"/>
        <v>7000</v>
      </c>
      <c r="BT141" s="184">
        <f t="shared" si="178"/>
        <v>7000</v>
      </c>
      <c r="BU141" s="184">
        <f t="shared" si="178"/>
        <v>7000</v>
      </c>
      <c r="BV141" s="184">
        <f t="shared" si="178"/>
        <v>7000</v>
      </c>
      <c r="BW141" s="184">
        <f t="shared" si="178"/>
        <v>7000</v>
      </c>
      <c r="BX141" s="184">
        <f t="shared" si="178"/>
        <v>7000</v>
      </c>
      <c r="BY141" s="184">
        <f>CC87</f>
        <v>7000</v>
      </c>
      <c r="BZ141" s="184">
        <f t="shared" ref="BZ141:CJ141" si="179">BY141</f>
        <v>7000</v>
      </c>
      <c r="CA141" s="184">
        <f t="shared" si="179"/>
        <v>7000</v>
      </c>
      <c r="CB141" s="184">
        <f t="shared" si="179"/>
        <v>7000</v>
      </c>
      <c r="CC141" s="184">
        <f t="shared" si="179"/>
        <v>7000</v>
      </c>
      <c r="CD141" s="184">
        <f t="shared" si="179"/>
        <v>7000</v>
      </c>
      <c r="CE141" s="184">
        <f t="shared" si="179"/>
        <v>7000</v>
      </c>
      <c r="CF141" s="184">
        <f t="shared" si="179"/>
        <v>7000</v>
      </c>
      <c r="CG141" s="184">
        <f t="shared" si="179"/>
        <v>7000</v>
      </c>
      <c r="CH141" s="184">
        <f t="shared" si="179"/>
        <v>7000</v>
      </c>
      <c r="CI141" s="184">
        <f t="shared" si="179"/>
        <v>7000</v>
      </c>
      <c r="CJ141" s="184">
        <f t="shared" si="179"/>
        <v>7000</v>
      </c>
      <c r="CK141" s="184">
        <f>CO87</f>
        <v>7000</v>
      </c>
      <c r="CL141" s="184">
        <f t="shared" ref="CL141:CV141" si="180">CK141</f>
        <v>7000</v>
      </c>
      <c r="CM141" s="184">
        <f t="shared" si="180"/>
        <v>7000</v>
      </c>
      <c r="CN141" s="184">
        <f t="shared" si="180"/>
        <v>7000</v>
      </c>
      <c r="CO141" s="184">
        <f t="shared" si="180"/>
        <v>7000</v>
      </c>
      <c r="CP141" s="184">
        <f t="shared" si="180"/>
        <v>7000</v>
      </c>
      <c r="CQ141" s="184">
        <f t="shared" si="180"/>
        <v>7000</v>
      </c>
      <c r="CR141" s="184">
        <f t="shared" si="180"/>
        <v>7000</v>
      </c>
      <c r="CS141" s="184">
        <f t="shared" si="180"/>
        <v>7000</v>
      </c>
      <c r="CT141" s="184">
        <f t="shared" si="180"/>
        <v>7000</v>
      </c>
      <c r="CU141" s="184">
        <f t="shared" si="180"/>
        <v>7000</v>
      </c>
      <c r="CV141" s="184">
        <f t="shared" si="180"/>
        <v>7000</v>
      </c>
      <c r="CW141" s="184">
        <f>DA87</f>
        <v>7000</v>
      </c>
      <c r="CX141" s="184">
        <f t="shared" ref="CX141:DH141" si="181">CW141</f>
        <v>7000</v>
      </c>
      <c r="CY141" s="184">
        <f t="shared" si="181"/>
        <v>7000</v>
      </c>
      <c r="CZ141" s="184">
        <f t="shared" si="181"/>
        <v>7000</v>
      </c>
      <c r="DA141" s="184">
        <f t="shared" si="181"/>
        <v>7000</v>
      </c>
      <c r="DB141" s="184">
        <f t="shared" si="181"/>
        <v>7000</v>
      </c>
      <c r="DC141" s="184">
        <f t="shared" si="181"/>
        <v>7000</v>
      </c>
      <c r="DD141" s="184">
        <f t="shared" si="181"/>
        <v>7000</v>
      </c>
      <c r="DE141" s="184">
        <f t="shared" si="181"/>
        <v>7000</v>
      </c>
      <c r="DF141" s="184">
        <f t="shared" si="181"/>
        <v>7000</v>
      </c>
      <c r="DG141" s="184">
        <f t="shared" si="181"/>
        <v>7000</v>
      </c>
      <c r="DH141" s="184">
        <f t="shared" si="181"/>
        <v>7000</v>
      </c>
      <c r="DI141" s="184">
        <f>DM87</f>
        <v>7000</v>
      </c>
      <c r="DJ141" s="184">
        <f t="shared" ref="DJ141:DT141" si="182">DI141</f>
        <v>7000</v>
      </c>
      <c r="DK141" s="184">
        <f t="shared" si="182"/>
        <v>7000</v>
      </c>
      <c r="DL141" s="184">
        <f t="shared" si="182"/>
        <v>7000</v>
      </c>
      <c r="DM141" s="184">
        <f t="shared" si="182"/>
        <v>7000</v>
      </c>
      <c r="DN141" s="184">
        <f t="shared" si="182"/>
        <v>7000</v>
      </c>
      <c r="DO141" s="184">
        <f t="shared" si="182"/>
        <v>7000</v>
      </c>
      <c r="DP141" s="184">
        <f t="shared" si="182"/>
        <v>7000</v>
      </c>
      <c r="DQ141" s="184">
        <f t="shared" si="182"/>
        <v>7000</v>
      </c>
      <c r="DR141" s="184">
        <f t="shared" si="182"/>
        <v>7000</v>
      </c>
      <c r="DS141" s="184">
        <f t="shared" si="182"/>
        <v>7000</v>
      </c>
      <c r="DT141" s="184">
        <f t="shared" si="182"/>
        <v>7000</v>
      </c>
    </row>
    <row r="142" spans="1:124" x14ac:dyDescent="0.25">
      <c r="A142" s="435"/>
      <c r="B142" s="832"/>
      <c r="C142" s="826"/>
      <c r="D142" s="438" t="s">
        <v>270</v>
      </c>
      <c r="E142" s="184"/>
      <c r="F142" s="184"/>
      <c r="G142" s="184"/>
      <c r="H142" s="184"/>
      <c r="I142" s="184"/>
      <c r="J142" s="184"/>
      <c r="K142" s="184">
        <f>J141/2</f>
        <v>3500</v>
      </c>
      <c r="L142" s="184"/>
      <c r="M142" s="184"/>
      <c r="N142" s="184"/>
      <c r="O142" s="184"/>
      <c r="P142" s="184">
        <f>O141/2</f>
        <v>3500</v>
      </c>
      <c r="Q142" s="184"/>
      <c r="R142" s="184"/>
      <c r="S142" s="184"/>
      <c r="T142" s="184"/>
      <c r="U142" s="184"/>
      <c r="V142" s="184"/>
      <c r="W142" s="184">
        <f>V141/2</f>
        <v>3500</v>
      </c>
      <c r="X142" s="184"/>
      <c r="Y142" s="184"/>
      <c r="Z142" s="184"/>
      <c r="AA142" s="184"/>
      <c r="AB142" s="184">
        <f>AA141/2</f>
        <v>3500</v>
      </c>
      <c r="AC142" s="184"/>
      <c r="AD142" s="184"/>
      <c r="AE142" s="184"/>
      <c r="AF142" s="184"/>
      <c r="AG142" s="184"/>
      <c r="AH142" s="184"/>
      <c r="AI142" s="184">
        <f>AH141/2</f>
        <v>3500</v>
      </c>
      <c r="AJ142" s="184"/>
      <c r="AK142" s="184"/>
      <c r="AL142" s="184"/>
      <c r="AM142" s="184"/>
      <c r="AN142" s="184">
        <f>AM141/2</f>
        <v>3500</v>
      </c>
      <c r="AO142" s="184"/>
      <c r="AP142" s="184"/>
      <c r="AQ142" s="184"/>
      <c r="AR142" s="184"/>
      <c r="AS142" s="184"/>
      <c r="AT142" s="184"/>
      <c r="AU142" s="184">
        <f>AT141/2</f>
        <v>3500</v>
      </c>
      <c r="AV142" s="184"/>
      <c r="AW142" s="184"/>
      <c r="AX142" s="184"/>
      <c r="AY142" s="184"/>
      <c r="AZ142" s="184">
        <f>AY141/2</f>
        <v>3500</v>
      </c>
      <c r="BA142" s="184"/>
      <c r="BB142" s="184"/>
      <c r="BC142" s="184"/>
      <c r="BD142" s="184"/>
      <c r="BE142" s="184"/>
      <c r="BF142" s="184"/>
      <c r="BG142" s="184">
        <f>BF141/2</f>
        <v>3500</v>
      </c>
      <c r="BH142" s="184"/>
      <c r="BI142" s="184"/>
      <c r="BJ142" s="184"/>
      <c r="BK142" s="184"/>
      <c r="BL142" s="184">
        <f>BK141/2</f>
        <v>3500</v>
      </c>
      <c r="BM142" s="184"/>
      <c r="BN142" s="184"/>
      <c r="BO142" s="184"/>
      <c r="BP142" s="184"/>
      <c r="BQ142" s="184"/>
      <c r="BR142" s="184"/>
      <c r="BS142" s="184">
        <f>BR141/2</f>
        <v>3500</v>
      </c>
      <c r="BT142" s="184"/>
      <c r="BU142" s="184"/>
      <c r="BV142" s="184"/>
      <c r="BW142" s="184"/>
      <c r="BX142" s="184">
        <f>BW141/2</f>
        <v>3500</v>
      </c>
      <c r="BY142" s="184"/>
      <c r="BZ142" s="184"/>
      <c r="CA142" s="184"/>
      <c r="CB142" s="184"/>
      <c r="CC142" s="184"/>
      <c r="CD142" s="184"/>
      <c r="CE142" s="184">
        <f>CD141/2</f>
        <v>3500</v>
      </c>
      <c r="CF142" s="184"/>
      <c r="CG142" s="184"/>
      <c r="CH142" s="184"/>
      <c r="CI142" s="184"/>
      <c r="CJ142" s="184">
        <f>CI141/2</f>
        <v>3500</v>
      </c>
      <c r="CK142" s="184"/>
      <c r="CL142" s="184"/>
      <c r="CM142" s="184"/>
      <c r="CN142" s="184"/>
      <c r="CO142" s="184"/>
      <c r="CP142" s="184"/>
      <c r="CQ142" s="184">
        <f>CP141/2</f>
        <v>3500</v>
      </c>
      <c r="CR142" s="184"/>
      <c r="CS142" s="184"/>
      <c r="CT142" s="184"/>
      <c r="CU142" s="184"/>
      <c r="CV142" s="184">
        <f>CU141/2</f>
        <v>3500</v>
      </c>
      <c r="CW142" s="184"/>
      <c r="CX142" s="184"/>
      <c r="CY142" s="184"/>
      <c r="CZ142" s="184"/>
      <c r="DA142" s="184"/>
      <c r="DB142" s="184"/>
      <c r="DC142" s="184">
        <f>DB141/2</f>
        <v>3500</v>
      </c>
      <c r="DD142" s="184"/>
      <c r="DE142" s="184"/>
      <c r="DF142" s="184"/>
      <c r="DG142" s="184"/>
      <c r="DH142" s="184">
        <f>DG141/2</f>
        <v>3500</v>
      </c>
      <c r="DI142" s="184"/>
      <c r="DJ142" s="184"/>
      <c r="DK142" s="184"/>
      <c r="DL142" s="184"/>
      <c r="DM142" s="184"/>
      <c r="DN142" s="184"/>
      <c r="DO142" s="184">
        <f>DN141/2</f>
        <v>3500</v>
      </c>
      <c r="DP142" s="184"/>
      <c r="DQ142" s="184"/>
      <c r="DR142" s="184"/>
      <c r="DS142" s="184"/>
      <c r="DT142" s="184">
        <f>DS141/2</f>
        <v>3500</v>
      </c>
    </row>
    <row r="143" spans="1:124" x14ac:dyDescent="0.25">
      <c r="A143" s="435"/>
      <c r="B143" s="832"/>
      <c r="C143" s="826"/>
      <c r="D143" s="438" t="s">
        <v>271</v>
      </c>
      <c r="E143" s="184"/>
      <c r="F143" s="184"/>
      <c r="G143" s="184"/>
      <c r="H143" s="184"/>
      <c r="I143" s="184">
        <f>(((H141/2)+K142/6)/12)*6</f>
        <v>2041.6666666666665</v>
      </c>
      <c r="J143" s="184"/>
      <c r="K143" s="184"/>
      <c r="L143" s="184"/>
      <c r="M143" s="184"/>
      <c r="N143" s="184"/>
      <c r="O143" s="184">
        <f>(((N141/2)+P142/6)/12)*6</f>
        <v>2041.6666666666665</v>
      </c>
      <c r="P143" s="184"/>
      <c r="Q143" s="184"/>
      <c r="R143" s="184"/>
      <c r="S143" s="184"/>
      <c r="T143" s="184"/>
      <c r="U143" s="184">
        <f>((T141+W142/6)/12)*6</f>
        <v>3791.666666666667</v>
      </c>
      <c r="V143" s="184"/>
      <c r="W143" s="184"/>
      <c r="X143" s="184"/>
      <c r="Y143" s="184"/>
      <c r="Z143" s="184"/>
      <c r="AA143" s="184">
        <f>((Z141+AB142/6)/12)*6</f>
        <v>3791.666666666667</v>
      </c>
      <c r="AB143" s="184"/>
      <c r="AC143" s="184"/>
      <c r="AD143" s="184"/>
      <c r="AE143" s="184"/>
      <c r="AF143" s="184"/>
      <c r="AG143" s="184">
        <f>((AF141+AI142/6)/12)*6</f>
        <v>3791.666666666667</v>
      </c>
      <c r="AH143" s="184"/>
      <c r="AI143" s="184"/>
      <c r="AJ143" s="184"/>
      <c r="AK143" s="184"/>
      <c r="AL143" s="184"/>
      <c r="AM143" s="184">
        <f>((AL141+AN142/6)/12)*6</f>
        <v>3791.666666666667</v>
      </c>
      <c r="AN143" s="184"/>
      <c r="AO143" s="184"/>
      <c r="AP143" s="184"/>
      <c r="AQ143" s="184"/>
      <c r="AR143" s="184"/>
      <c r="AS143" s="184">
        <f>((AR141+AU142/6)/12)*6</f>
        <v>3791.666666666667</v>
      </c>
      <c r="AT143" s="184"/>
      <c r="AU143" s="184"/>
      <c r="AV143" s="184"/>
      <c r="AW143" s="184"/>
      <c r="AX143" s="184"/>
      <c r="AY143" s="184">
        <f>((AX141+AZ142/6)/12)*6</f>
        <v>3791.666666666667</v>
      </c>
      <c r="AZ143" s="184"/>
      <c r="BA143" s="184"/>
      <c r="BB143" s="184"/>
      <c r="BC143" s="184"/>
      <c r="BD143" s="184"/>
      <c r="BE143" s="184">
        <f>((BD141+BG142/6)/12)*6</f>
        <v>3791.666666666667</v>
      </c>
      <c r="BF143" s="184"/>
      <c r="BG143" s="184"/>
      <c r="BH143" s="184"/>
      <c r="BI143" s="184"/>
      <c r="BJ143" s="184"/>
      <c r="BK143" s="184">
        <f>((BJ141+BL142/6)/12)*6</f>
        <v>3791.666666666667</v>
      </c>
      <c r="BL143" s="184"/>
      <c r="BM143" s="184"/>
      <c r="BN143" s="184"/>
      <c r="BO143" s="184"/>
      <c r="BP143" s="184"/>
      <c r="BQ143" s="184">
        <f>((BP141+BS142/6)/12)*6</f>
        <v>3791.666666666667</v>
      </c>
      <c r="BR143" s="184"/>
      <c r="BS143" s="184"/>
      <c r="BT143" s="184"/>
      <c r="BU143" s="184"/>
      <c r="BV143" s="184"/>
      <c r="BW143" s="184">
        <f>((BV141+BX142/6)/12)*6</f>
        <v>3791.666666666667</v>
      </c>
      <c r="BX143" s="184"/>
      <c r="BY143" s="184"/>
      <c r="BZ143" s="184"/>
      <c r="CA143" s="184"/>
      <c r="CB143" s="184"/>
      <c r="CC143" s="184">
        <f>((CB141+CE142/6)/12)*6</f>
        <v>3791.666666666667</v>
      </c>
      <c r="CD143" s="184"/>
      <c r="CE143" s="184"/>
      <c r="CF143" s="184"/>
      <c r="CG143" s="184"/>
      <c r="CH143" s="184"/>
      <c r="CI143" s="184">
        <f>((CH141+CJ142/6)/12)*6</f>
        <v>3791.666666666667</v>
      </c>
      <c r="CJ143" s="184"/>
      <c r="CK143" s="184"/>
      <c r="CL143" s="184"/>
      <c r="CM143" s="184"/>
      <c r="CN143" s="184"/>
      <c r="CO143" s="184">
        <f>((CN141+CQ142/6)/12)*6</f>
        <v>3791.666666666667</v>
      </c>
      <c r="CP143" s="184"/>
      <c r="CQ143" s="184"/>
      <c r="CR143" s="184"/>
      <c r="CS143" s="184"/>
      <c r="CT143" s="184"/>
      <c r="CU143" s="184">
        <f>((CT141+CV142/6)/12)*6</f>
        <v>3791.666666666667</v>
      </c>
      <c r="CV143" s="184"/>
      <c r="CW143" s="184"/>
      <c r="CX143" s="184"/>
      <c r="CY143" s="184"/>
      <c r="CZ143" s="184"/>
      <c r="DA143" s="184">
        <f>((CZ141+DC142/6)/12)*6</f>
        <v>3791.666666666667</v>
      </c>
      <c r="DB143" s="184"/>
      <c r="DC143" s="184"/>
      <c r="DD143" s="184"/>
      <c r="DE143" s="184"/>
      <c r="DF143" s="184"/>
      <c r="DG143" s="184">
        <f>((DF141+DH142/6)/12)*6</f>
        <v>3791.666666666667</v>
      </c>
      <c r="DH143" s="184"/>
      <c r="DI143" s="184"/>
      <c r="DJ143" s="184"/>
      <c r="DK143" s="184"/>
      <c r="DL143" s="184"/>
      <c r="DM143" s="184">
        <f>((DL141+DO142/6)/12)*6</f>
        <v>3791.666666666667</v>
      </c>
      <c r="DN143" s="184"/>
      <c r="DO143" s="184"/>
      <c r="DP143" s="184"/>
      <c r="DQ143" s="184"/>
      <c r="DR143" s="184"/>
      <c r="DS143" s="184">
        <f>((DR141+DT142/6)/12)*6</f>
        <v>3791.666666666667</v>
      </c>
      <c r="DT143" s="184"/>
    </row>
    <row r="144" spans="1:124" x14ac:dyDescent="0.25">
      <c r="A144" s="435"/>
      <c r="B144" s="832"/>
      <c r="C144" s="826"/>
      <c r="D144" s="438" t="s">
        <v>592</v>
      </c>
      <c r="E144" s="184"/>
      <c r="F144" s="184"/>
      <c r="G144" s="184"/>
      <c r="H144" s="184"/>
      <c r="I144" s="184"/>
      <c r="J144" s="184"/>
      <c r="K144" s="184"/>
      <c r="L144" s="184"/>
      <c r="M144" s="184"/>
      <c r="N144" s="184"/>
      <c r="O144" s="184"/>
      <c r="P144" s="184"/>
      <c r="Q144" s="184">
        <f>(Q141/24)*12</f>
        <v>3500</v>
      </c>
      <c r="R144" s="184"/>
      <c r="S144" s="184"/>
      <c r="T144" s="184"/>
      <c r="U144" s="184"/>
      <c r="V144" s="184"/>
      <c r="W144" s="184"/>
      <c r="X144" s="184"/>
      <c r="Y144" s="184"/>
      <c r="Z144" s="184"/>
      <c r="AA144" s="184"/>
      <c r="AB144" s="184"/>
      <c r="AC144" s="184">
        <f>(AC141/24)*12</f>
        <v>3500</v>
      </c>
      <c r="AD144" s="184"/>
      <c r="AE144" s="184"/>
      <c r="AF144" s="184"/>
      <c r="AG144" s="184"/>
      <c r="AH144" s="184"/>
      <c r="AI144" s="184"/>
      <c r="AJ144" s="184"/>
      <c r="AK144" s="184"/>
      <c r="AL144" s="184"/>
      <c r="AM144" s="184"/>
      <c r="AN144" s="184"/>
      <c r="AO144" s="184">
        <f>(AO141/24)*12</f>
        <v>3500</v>
      </c>
      <c r="AP144" s="184"/>
      <c r="AQ144" s="184"/>
      <c r="AR144" s="184"/>
      <c r="AS144" s="184"/>
      <c r="AT144" s="184"/>
      <c r="AU144" s="184"/>
      <c r="AV144" s="184"/>
      <c r="AW144" s="184"/>
      <c r="AX144" s="184"/>
      <c r="AY144" s="184"/>
      <c r="AZ144" s="184"/>
      <c r="BA144" s="184">
        <f>(BA141/24)*12</f>
        <v>3500</v>
      </c>
      <c r="BB144" s="184"/>
      <c r="BC144" s="184"/>
      <c r="BD144" s="184"/>
      <c r="BE144" s="184"/>
      <c r="BF144" s="184"/>
      <c r="BG144" s="184"/>
      <c r="BH144" s="184"/>
      <c r="BI144" s="184"/>
      <c r="BJ144" s="184"/>
      <c r="BK144" s="184"/>
      <c r="BL144" s="184"/>
      <c r="BM144" s="184">
        <f>(BM141/24)*12</f>
        <v>3500</v>
      </c>
      <c r="BN144" s="184"/>
      <c r="BO144" s="184"/>
      <c r="BP144" s="184"/>
      <c r="BQ144" s="184"/>
      <c r="BR144" s="184"/>
      <c r="BS144" s="184"/>
      <c r="BT144" s="184"/>
      <c r="BU144" s="184"/>
      <c r="BV144" s="184"/>
      <c r="BW144" s="184"/>
      <c r="BX144" s="184"/>
      <c r="BY144" s="184">
        <f>(BY141/24)*12</f>
        <v>3500</v>
      </c>
      <c r="BZ144" s="184"/>
      <c r="CA144" s="184"/>
      <c r="CB144" s="184"/>
      <c r="CC144" s="184"/>
      <c r="CD144" s="184"/>
      <c r="CE144" s="184"/>
      <c r="CF144" s="184"/>
      <c r="CG144" s="184"/>
      <c r="CH144" s="184"/>
      <c r="CI144" s="184"/>
      <c r="CJ144" s="184"/>
      <c r="CK144" s="184">
        <f>(CK141/24)*12</f>
        <v>3500</v>
      </c>
      <c r="CL144" s="184"/>
      <c r="CM144" s="184"/>
      <c r="CN144" s="184"/>
      <c r="CO144" s="184"/>
      <c r="CP144" s="184"/>
      <c r="CQ144" s="184"/>
      <c r="CR144" s="184"/>
      <c r="CS144" s="184"/>
      <c r="CT144" s="184"/>
      <c r="CU144" s="184"/>
      <c r="CV144" s="184"/>
      <c r="CW144" s="184">
        <f>(CW141/24)*12</f>
        <v>3500</v>
      </c>
      <c r="CX144" s="184"/>
      <c r="CY144" s="184"/>
      <c r="CZ144" s="184"/>
      <c r="DA144" s="184"/>
      <c r="DB144" s="184"/>
      <c r="DC144" s="184"/>
      <c r="DD144" s="184"/>
      <c r="DE144" s="184"/>
      <c r="DF144" s="184"/>
      <c r="DG144" s="184"/>
      <c r="DH144" s="184"/>
      <c r="DI144" s="184">
        <f>(DI141/24)*12</f>
        <v>3500</v>
      </c>
      <c r="DJ144" s="184"/>
      <c r="DK144" s="184"/>
      <c r="DL144" s="184"/>
      <c r="DM144" s="184"/>
      <c r="DN144" s="184"/>
      <c r="DO144" s="184"/>
      <c r="DP144" s="184"/>
      <c r="DQ144" s="184"/>
      <c r="DR144" s="184"/>
      <c r="DS144" s="184"/>
      <c r="DT144" s="184"/>
    </row>
    <row r="145" spans="1:124" x14ac:dyDescent="0.25">
      <c r="A145" s="230"/>
      <c r="B145" s="832"/>
      <c r="C145" s="826"/>
      <c r="D145" s="438" t="s">
        <v>272</v>
      </c>
      <c r="E145" s="184">
        <f t="shared" ref="E145:BP145" si="183">E141*9%</f>
        <v>630</v>
      </c>
      <c r="F145" s="184">
        <f t="shared" si="183"/>
        <v>630</v>
      </c>
      <c r="G145" s="184">
        <f t="shared" si="183"/>
        <v>630</v>
      </c>
      <c r="H145" s="184">
        <f t="shared" si="183"/>
        <v>630</v>
      </c>
      <c r="I145" s="184">
        <f t="shared" si="183"/>
        <v>630</v>
      </c>
      <c r="J145" s="184">
        <f t="shared" si="183"/>
        <v>630</v>
      </c>
      <c r="K145" s="184">
        <f t="shared" si="183"/>
        <v>630</v>
      </c>
      <c r="L145" s="184">
        <f t="shared" si="183"/>
        <v>630</v>
      </c>
      <c r="M145" s="184">
        <f t="shared" si="183"/>
        <v>630</v>
      </c>
      <c r="N145" s="184">
        <f t="shared" si="183"/>
        <v>630</v>
      </c>
      <c r="O145" s="184">
        <f t="shared" si="183"/>
        <v>630</v>
      </c>
      <c r="P145" s="184">
        <f t="shared" si="183"/>
        <v>630</v>
      </c>
      <c r="Q145" s="184">
        <f t="shared" si="183"/>
        <v>630</v>
      </c>
      <c r="R145" s="184">
        <f t="shared" si="183"/>
        <v>630</v>
      </c>
      <c r="S145" s="184">
        <f t="shared" si="183"/>
        <v>630</v>
      </c>
      <c r="T145" s="184">
        <f t="shared" si="183"/>
        <v>630</v>
      </c>
      <c r="U145" s="184">
        <f t="shared" si="183"/>
        <v>630</v>
      </c>
      <c r="V145" s="184">
        <f t="shared" si="183"/>
        <v>630</v>
      </c>
      <c r="W145" s="184">
        <f t="shared" si="183"/>
        <v>630</v>
      </c>
      <c r="X145" s="184">
        <f t="shared" si="183"/>
        <v>630</v>
      </c>
      <c r="Y145" s="184">
        <f t="shared" si="183"/>
        <v>630</v>
      </c>
      <c r="Z145" s="184">
        <f t="shared" si="183"/>
        <v>630</v>
      </c>
      <c r="AA145" s="184">
        <f t="shared" si="183"/>
        <v>630</v>
      </c>
      <c r="AB145" s="184">
        <f t="shared" si="183"/>
        <v>630</v>
      </c>
      <c r="AC145" s="184">
        <f t="shared" si="183"/>
        <v>630</v>
      </c>
      <c r="AD145" s="184">
        <f t="shared" si="183"/>
        <v>630</v>
      </c>
      <c r="AE145" s="184">
        <f t="shared" si="183"/>
        <v>630</v>
      </c>
      <c r="AF145" s="184">
        <f t="shared" si="183"/>
        <v>630</v>
      </c>
      <c r="AG145" s="184">
        <f t="shared" si="183"/>
        <v>630</v>
      </c>
      <c r="AH145" s="184">
        <f t="shared" si="183"/>
        <v>630</v>
      </c>
      <c r="AI145" s="184">
        <f t="shared" si="183"/>
        <v>630</v>
      </c>
      <c r="AJ145" s="184">
        <f t="shared" si="183"/>
        <v>630</v>
      </c>
      <c r="AK145" s="184">
        <f t="shared" si="183"/>
        <v>630</v>
      </c>
      <c r="AL145" s="184">
        <f t="shared" si="183"/>
        <v>630</v>
      </c>
      <c r="AM145" s="184">
        <f t="shared" si="183"/>
        <v>630</v>
      </c>
      <c r="AN145" s="184">
        <f t="shared" si="183"/>
        <v>630</v>
      </c>
      <c r="AO145" s="184">
        <f t="shared" si="183"/>
        <v>630</v>
      </c>
      <c r="AP145" s="184">
        <f t="shared" si="183"/>
        <v>630</v>
      </c>
      <c r="AQ145" s="184">
        <f t="shared" si="183"/>
        <v>630</v>
      </c>
      <c r="AR145" s="184">
        <f t="shared" si="183"/>
        <v>630</v>
      </c>
      <c r="AS145" s="184">
        <f t="shared" si="183"/>
        <v>630</v>
      </c>
      <c r="AT145" s="184">
        <f t="shared" si="183"/>
        <v>630</v>
      </c>
      <c r="AU145" s="184">
        <f t="shared" si="183"/>
        <v>630</v>
      </c>
      <c r="AV145" s="184">
        <f t="shared" si="183"/>
        <v>630</v>
      </c>
      <c r="AW145" s="184">
        <f t="shared" si="183"/>
        <v>630</v>
      </c>
      <c r="AX145" s="184">
        <f t="shared" si="183"/>
        <v>630</v>
      </c>
      <c r="AY145" s="184">
        <f t="shared" si="183"/>
        <v>630</v>
      </c>
      <c r="AZ145" s="184">
        <f t="shared" si="183"/>
        <v>630</v>
      </c>
      <c r="BA145" s="184">
        <f t="shared" si="183"/>
        <v>630</v>
      </c>
      <c r="BB145" s="184">
        <f t="shared" si="183"/>
        <v>630</v>
      </c>
      <c r="BC145" s="184">
        <f t="shared" si="183"/>
        <v>630</v>
      </c>
      <c r="BD145" s="184">
        <f t="shared" si="183"/>
        <v>630</v>
      </c>
      <c r="BE145" s="184">
        <f t="shared" si="183"/>
        <v>630</v>
      </c>
      <c r="BF145" s="184">
        <f t="shared" si="183"/>
        <v>630</v>
      </c>
      <c r="BG145" s="184">
        <f t="shared" si="183"/>
        <v>630</v>
      </c>
      <c r="BH145" s="184">
        <f t="shared" si="183"/>
        <v>630</v>
      </c>
      <c r="BI145" s="184">
        <f t="shared" si="183"/>
        <v>630</v>
      </c>
      <c r="BJ145" s="184">
        <f t="shared" si="183"/>
        <v>630</v>
      </c>
      <c r="BK145" s="184">
        <f t="shared" si="183"/>
        <v>630</v>
      </c>
      <c r="BL145" s="184">
        <f t="shared" si="183"/>
        <v>630</v>
      </c>
      <c r="BM145" s="184">
        <f t="shared" si="183"/>
        <v>630</v>
      </c>
      <c r="BN145" s="184">
        <f t="shared" si="183"/>
        <v>630</v>
      </c>
      <c r="BO145" s="184">
        <f t="shared" si="183"/>
        <v>630</v>
      </c>
      <c r="BP145" s="184">
        <f t="shared" si="183"/>
        <v>630</v>
      </c>
      <c r="BQ145" s="184">
        <f t="shared" ref="BQ145:DT145" si="184">BQ141*9%</f>
        <v>630</v>
      </c>
      <c r="BR145" s="184">
        <f t="shared" si="184"/>
        <v>630</v>
      </c>
      <c r="BS145" s="184">
        <f t="shared" si="184"/>
        <v>630</v>
      </c>
      <c r="BT145" s="184">
        <f t="shared" si="184"/>
        <v>630</v>
      </c>
      <c r="BU145" s="184">
        <f t="shared" si="184"/>
        <v>630</v>
      </c>
      <c r="BV145" s="184">
        <f t="shared" si="184"/>
        <v>630</v>
      </c>
      <c r="BW145" s="184">
        <f t="shared" si="184"/>
        <v>630</v>
      </c>
      <c r="BX145" s="184">
        <f t="shared" si="184"/>
        <v>630</v>
      </c>
      <c r="BY145" s="184">
        <f t="shared" si="184"/>
        <v>630</v>
      </c>
      <c r="BZ145" s="184">
        <f t="shared" si="184"/>
        <v>630</v>
      </c>
      <c r="CA145" s="184">
        <f t="shared" si="184"/>
        <v>630</v>
      </c>
      <c r="CB145" s="184">
        <f t="shared" si="184"/>
        <v>630</v>
      </c>
      <c r="CC145" s="184">
        <f t="shared" si="184"/>
        <v>630</v>
      </c>
      <c r="CD145" s="184">
        <f t="shared" si="184"/>
        <v>630</v>
      </c>
      <c r="CE145" s="184">
        <f t="shared" si="184"/>
        <v>630</v>
      </c>
      <c r="CF145" s="184">
        <f t="shared" si="184"/>
        <v>630</v>
      </c>
      <c r="CG145" s="184">
        <f t="shared" si="184"/>
        <v>630</v>
      </c>
      <c r="CH145" s="184">
        <f t="shared" si="184"/>
        <v>630</v>
      </c>
      <c r="CI145" s="184">
        <f t="shared" si="184"/>
        <v>630</v>
      </c>
      <c r="CJ145" s="184">
        <f t="shared" si="184"/>
        <v>630</v>
      </c>
      <c r="CK145" s="184">
        <f t="shared" si="184"/>
        <v>630</v>
      </c>
      <c r="CL145" s="184">
        <f t="shared" si="184"/>
        <v>630</v>
      </c>
      <c r="CM145" s="184">
        <f t="shared" si="184"/>
        <v>630</v>
      </c>
      <c r="CN145" s="184">
        <f t="shared" si="184"/>
        <v>630</v>
      </c>
      <c r="CO145" s="184">
        <f t="shared" si="184"/>
        <v>630</v>
      </c>
      <c r="CP145" s="184">
        <f t="shared" si="184"/>
        <v>630</v>
      </c>
      <c r="CQ145" s="184">
        <f t="shared" si="184"/>
        <v>630</v>
      </c>
      <c r="CR145" s="184">
        <f t="shared" si="184"/>
        <v>630</v>
      </c>
      <c r="CS145" s="184">
        <f t="shared" si="184"/>
        <v>630</v>
      </c>
      <c r="CT145" s="184">
        <f t="shared" si="184"/>
        <v>630</v>
      </c>
      <c r="CU145" s="184">
        <f t="shared" si="184"/>
        <v>630</v>
      </c>
      <c r="CV145" s="184">
        <f t="shared" si="184"/>
        <v>630</v>
      </c>
      <c r="CW145" s="184">
        <f t="shared" si="184"/>
        <v>630</v>
      </c>
      <c r="CX145" s="184">
        <f t="shared" si="184"/>
        <v>630</v>
      </c>
      <c r="CY145" s="184">
        <f t="shared" si="184"/>
        <v>630</v>
      </c>
      <c r="CZ145" s="184">
        <f t="shared" si="184"/>
        <v>630</v>
      </c>
      <c r="DA145" s="184">
        <f t="shared" si="184"/>
        <v>630</v>
      </c>
      <c r="DB145" s="184">
        <f t="shared" si="184"/>
        <v>630</v>
      </c>
      <c r="DC145" s="184">
        <f t="shared" si="184"/>
        <v>630</v>
      </c>
      <c r="DD145" s="184">
        <f t="shared" si="184"/>
        <v>630</v>
      </c>
      <c r="DE145" s="184">
        <f t="shared" si="184"/>
        <v>630</v>
      </c>
      <c r="DF145" s="184">
        <f t="shared" si="184"/>
        <v>630</v>
      </c>
      <c r="DG145" s="184">
        <f t="shared" si="184"/>
        <v>630</v>
      </c>
      <c r="DH145" s="184">
        <f t="shared" si="184"/>
        <v>630</v>
      </c>
      <c r="DI145" s="184">
        <f t="shared" si="184"/>
        <v>630</v>
      </c>
      <c r="DJ145" s="184">
        <f t="shared" si="184"/>
        <v>630</v>
      </c>
      <c r="DK145" s="184">
        <f t="shared" si="184"/>
        <v>630</v>
      </c>
      <c r="DL145" s="184">
        <f t="shared" si="184"/>
        <v>630</v>
      </c>
      <c r="DM145" s="184">
        <f t="shared" si="184"/>
        <v>630</v>
      </c>
      <c r="DN145" s="184">
        <f t="shared" si="184"/>
        <v>630</v>
      </c>
      <c r="DO145" s="184">
        <f t="shared" si="184"/>
        <v>630</v>
      </c>
      <c r="DP145" s="184">
        <f t="shared" si="184"/>
        <v>630</v>
      </c>
      <c r="DQ145" s="184">
        <f t="shared" si="184"/>
        <v>630</v>
      </c>
      <c r="DR145" s="184">
        <f t="shared" si="184"/>
        <v>630</v>
      </c>
      <c r="DS145" s="184">
        <f t="shared" si="184"/>
        <v>630</v>
      </c>
      <c r="DT145" s="184">
        <f t="shared" si="184"/>
        <v>630</v>
      </c>
    </row>
    <row r="146" spans="1:124" x14ac:dyDescent="0.25">
      <c r="A146" s="230"/>
      <c r="B146" s="833"/>
      <c r="C146" s="827"/>
      <c r="D146" s="481" t="s">
        <v>273</v>
      </c>
      <c r="E146" s="454">
        <f t="shared" ref="E146:AB146" si="185">SUM(E141:E145)</f>
        <v>7630</v>
      </c>
      <c r="F146" s="454">
        <f t="shared" si="185"/>
        <v>7630</v>
      </c>
      <c r="G146" s="454">
        <f t="shared" si="185"/>
        <v>7630</v>
      </c>
      <c r="H146" s="454">
        <f t="shared" si="185"/>
        <v>7630</v>
      </c>
      <c r="I146" s="454">
        <f t="shared" si="185"/>
        <v>9671.6666666666661</v>
      </c>
      <c r="J146" s="454">
        <f t="shared" si="185"/>
        <v>7630</v>
      </c>
      <c r="K146" s="454">
        <f t="shared" si="185"/>
        <v>11130</v>
      </c>
      <c r="L146" s="454">
        <f t="shared" si="185"/>
        <v>7630</v>
      </c>
      <c r="M146" s="454">
        <f t="shared" si="185"/>
        <v>7630</v>
      </c>
      <c r="N146" s="454">
        <f t="shared" si="185"/>
        <v>7630</v>
      </c>
      <c r="O146" s="454">
        <f t="shared" si="185"/>
        <v>9671.6666666666661</v>
      </c>
      <c r="P146" s="454">
        <f t="shared" si="185"/>
        <v>11130</v>
      </c>
      <c r="Q146" s="454">
        <f t="shared" si="185"/>
        <v>11130</v>
      </c>
      <c r="R146" s="454">
        <f t="shared" si="185"/>
        <v>7630</v>
      </c>
      <c r="S146" s="454">
        <f t="shared" si="185"/>
        <v>7630</v>
      </c>
      <c r="T146" s="454">
        <f t="shared" si="185"/>
        <v>7630</v>
      </c>
      <c r="U146" s="454">
        <f t="shared" si="185"/>
        <v>11421.666666666668</v>
      </c>
      <c r="V146" s="454">
        <f t="shared" si="185"/>
        <v>7630</v>
      </c>
      <c r="W146" s="454">
        <f t="shared" si="185"/>
        <v>11130</v>
      </c>
      <c r="X146" s="454">
        <f t="shared" si="185"/>
        <v>7630</v>
      </c>
      <c r="Y146" s="454">
        <f t="shared" si="185"/>
        <v>7630</v>
      </c>
      <c r="Z146" s="454">
        <f t="shared" si="185"/>
        <v>7630</v>
      </c>
      <c r="AA146" s="454">
        <f t="shared" si="185"/>
        <v>11421.666666666668</v>
      </c>
      <c r="AB146" s="454">
        <f t="shared" si="185"/>
        <v>11130</v>
      </c>
      <c r="AC146" s="454">
        <f t="shared" ref="AC146:CN146" si="186">SUM(AC141:AC145)</f>
        <v>11130</v>
      </c>
      <c r="AD146" s="454">
        <f t="shared" si="186"/>
        <v>7630</v>
      </c>
      <c r="AE146" s="454">
        <f t="shared" si="186"/>
        <v>7630</v>
      </c>
      <c r="AF146" s="454">
        <f t="shared" si="186"/>
        <v>7630</v>
      </c>
      <c r="AG146" s="454">
        <f t="shared" si="186"/>
        <v>11421.666666666668</v>
      </c>
      <c r="AH146" s="454">
        <f t="shared" si="186"/>
        <v>7630</v>
      </c>
      <c r="AI146" s="454">
        <f t="shared" si="186"/>
        <v>11130</v>
      </c>
      <c r="AJ146" s="454">
        <f t="shared" si="186"/>
        <v>7630</v>
      </c>
      <c r="AK146" s="454">
        <f t="shared" si="186"/>
        <v>7630</v>
      </c>
      <c r="AL146" s="454">
        <f t="shared" si="186"/>
        <v>7630</v>
      </c>
      <c r="AM146" s="454">
        <f t="shared" si="186"/>
        <v>11421.666666666668</v>
      </c>
      <c r="AN146" s="454">
        <f t="shared" si="186"/>
        <v>11130</v>
      </c>
      <c r="AO146" s="454">
        <f t="shared" si="186"/>
        <v>11130</v>
      </c>
      <c r="AP146" s="454">
        <f t="shared" si="186"/>
        <v>7630</v>
      </c>
      <c r="AQ146" s="454">
        <f t="shared" si="186"/>
        <v>7630</v>
      </c>
      <c r="AR146" s="454">
        <f t="shared" si="186"/>
        <v>7630</v>
      </c>
      <c r="AS146" s="454">
        <f t="shared" si="186"/>
        <v>11421.666666666668</v>
      </c>
      <c r="AT146" s="454">
        <f t="shared" si="186"/>
        <v>7630</v>
      </c>
      <c r="AU146" s="454">
        <f t="shared" si="186"/>
        <v>11130</v>
      </c>
      <c r="AV146" s="454">
        <f t="shared" si="186"/>
        <v>7630</v>
      </c>
      <c r="AW146" s="454">
        <f t="shared" si="186"/>
        <v>7630</v>
      </c>
      <c r="AX146" s="454">
        <f t="shared" si="186"/>
        <v>7630</v>
      </c>
      <c r="AY146" s="454">
        <f t="shared" si="186"/>
        <v>11421.666666666668</v>
      </c>
      <c r="AZ146" s="454">
        <f t="shared" si="186"/>
        <v>11130</v>
      </c>
      <c r="BA146" s="454">
        <f t="shared" si="186"/>
        <v>11130</v>
      </c>
      <c r="BB146" s="454">
        <f t="shared" si="186"/>
        <v>7630</v>
      </c>
      <c r="BC146" s="454">
        <f t="shared" si="186"/>
        <v>7630</v>
      </c>
      <c r="BD146" s="454">
        <f t="shared" si="186"/>
        <v>7630</v>
      </c>
      <c r="BE146" s="454">
        <f t="shared" si="186"/>
        <v>11421.666666666668</v>
      </c>
      <c r="BF146" s="454">
        <f t="shared" si="186"/>
        <v>7630</v>
      </c>
      <c r="BG146" s="454">
        <f t="shared" si="186"/>
        <v>11130</v>
      </c>
      <c r="BH146" s="454">
        <f t="shared" si="186"/>
        <v>7630</v>
      </c>
      <c r="BI146" s="454">
        <f t="shared" si="186"/>
        <v>7630</v>
      </c>
      <c r="BJ146" s="454">
        <f t="shared" si="186"/>
        <v>7630</v>
      </c>
      <c r="BK146" s="454">
        <f t="shared" si="186"/>
        <v>11421.666666666668</v>
      </c>
      <c r="BL146" s="454">
        <f t="shared" si="186"/>
        <v>11130</v>
      </c>
      <c r="BM146" s="454">
        <f t="shared" si="186"/>
        <v>11130</v>
      </c>
      <c r="BN146" s="454">
        <f t="shared" si="186"/>
        <v>7630</v>
      </c>
      <c r="BO146" s="454">
        <f t="shared" si="186"/>
        <v>7630</v>
      </c>
      <c r="BP146" s="454">
        <f t="shared" si="186"/>
        <v>7630</v>
      </c>
      <c r="BQ146" s="454">
        <f t="shared" si="186"/>
        <v>11421.666666666668</v>
      </c>
      <c r="BR146" s="454">
        <f t="shared" si="186"/>
        <v>7630</v>
      </c>
      <c r="BS146" s="454">
        <f t="shared" si="186"/>
        <v>11130</v>
      </c>
      <c r="BT146" s="454">
        <f t="shared" si="186"/>
        <v>7630</v>
      </c>
      <c r="BU146" s="454">
        <f t="shared" si="186"/>
        <v>7630</v>
      </c>
      <c r="BV146" s="454">
        <f t="shared" si="186"/>
        <v>7630</v>
      </c>
      <c r="BW146" s="454">
        <f t="shared" si="186"/>
        <v>11421.666666666668</v>
      </c>
      <c r="BX146" s="454">
        <f t="shared" si="186"/>
        <v>11130</v>
      </c>
      <c r="BY146" s="454">
        <f t="shared" si="186"/>
        <v>11130</v>
      </c>
      <c r="BZ146" s="454">
        <f t="shared" si="186"/>
        <v>7630</v>
      </c>
      <c r="CA146" s="454">
        <f t="shared" si="186"/>
        <v>7630</v>
      </c>
      <c r="CB146" s="454">
        <f t="shared" si="186"/>
        <v>7630</v>
      </c>
      <c r="CC146" s="454">
        <f t="shared" si="186"/>
        <v>11421.666666666668</v>
      </c>
      <c r="CD146" s="454">
        <f t="shared" si="186"/>
        <v>7630</v>
      </c>
      <c r="CE146" s="454">
        <f t="shared" si="186"/>
        <v>11130</v>
      </c>
      <c r="CF146" s="454">
        <f t="shared" si="186"/>
        <v>7630</v>
      </c>
      <c r="CG146" s="454">
        <f t="shared" si="186"/>
        <v>7630</v>
      </c>
      <c r="CH146" s="454">
        <f t="shared" si="186"/>
        <v>7630</v>
      </c>
      <c r="CI146" s="454">
        <f t="shared" si="186"/>
        <v>11421.666666666668</v>
      </c>
      <c r="CJ146" s="454">
        <f t="shared" si="186"/>
        <v>11130</v>
      </c>
      <c r="CK146" s="454">
        <f t="shared" si="186"/>
        <v>11130</v>
      </c>
      <c r="CL146" s="454">
        <f t="shared" si="186"/>
        <v>7630</v>
      </c>
      <c r="CM146" s="454">
        <f t="shared" si="186"/>
        <v>7630</v>
      </c>
      <c r="CN146" s="454">
        <f t="shared" si="186"/>
        <v>7630</v>
      </c>
      <c r="CO146" s="454">
        <f t="shared" ref="CO146:DT146" si="187">SUM(CO141:CO145)</f>
        <v>11421.666666666668</v>
      </c>
      <c r="CP146" s="454">
        <f t="shared" si="187"/>
        <v>7630</v>
      </c>
      <c r="CQ146" s="454">
        <f t="shared" si="187"/>
        <v>11130</v>
      </c>
      <c r="CR146" s="454">
        <f t="shared" si="187"/>
        <v>7630</v>
      </c>
      <c r="CS146" s="454">
        <f t="shared" si="187"/>
        <v>7630</v>
      </c>
      <c r="CT146" s="454">
        <f t="shared" si="187"/>
        <v>7630</v>
      </c>
      <c r="CU146" s="454">
        <f t="shared" si="187"/>
        <v>11421.666666666668</v>
      </c>
      <c r="CV146" s="454">
        <f t="shared" si="187"/>
        <v>11130</v>
      </c>
      <c r="CW146" s="454">
        <f t="shared" si="187"/>
        <v>11130</v>
      </c>
      <c r="CX146" s="454">
        <f t="shared" si="187"/>
        <v>7630</v>
      </c>
      <c r="CY146" s="454">
        <f t="shared" si="187"/>
        <v>7630</v>
      </c>
      <c r="CZ146" s="454">
        <f t="shared" si="187"/>
        <v>7630</v>
      </c>
      <c r="DA146" s="454">
        <f t="shared" si="187"/>
        <v>11421.666666666668</v>
      </c>
      <c r="DB146" s="454">
        <f t="shared" si="187"/>
        <v>7630</v>
      </c>
      <c r="DC146" s="454">
        <f t="shared" si="187"/>
        <v>11130</v>
      </c>
      <c r="DD146" s="454">
        <f t="shared" si="187"/>
        <v>7630</v>
      </c>
      <c r="DE146" s="454">
        <f t="shared" si="187"/>
        <v>7630</v>
      </c>
      <c r="DF146" s="454">
        <f t="shared" si="187"/>
        <v>7630</v>
      </c>
      <c r="DG146" s="454">
        <f t="shared" si="187"/>
        <v>11421.666666666668</v>
      </c>
      <c r="DH146" s="454">
        <f t="shared" si="187"/>
        <v>11130</v>
      </c>
      <c r="DI146" s="454">
        <f t="shared" si="187"/>
        <v>11130</v>
      </c>
      <c r="DJ146" s="454">
        <f t="shared" si="187"/>
        <v>7630</v>
      </c>
      <c r="DK146" s="454">
        <f t="shared" si="187"/>
        <v>7630</v>
      </c>
      <c r="DL146" s="454">
        <f t="shared" si="187"/>
        <v>7630</v>
      </c>
      <c r="DM146" s="454">
        <f t="shared" si="187"/>
        <v>11421.666666666668</v>
      </c>
      <c r="DN146" s="454">
        <f t="shared" si="187"/>
        <v>7630</v>
      </c>
      <c r="DO146" s="454">
        <f t="shared" si="187"/>
        <v>11130</v>
      </c>
      <c r="DP146" s="454">
        <f t="shared" si="187"/>
        <v>7630</v>
      </c>
      <c r="DQ146" s="454">
        <f t="shared" si="187"/>
        <v>7630</v>
      </c>
      <c r="DR146" s="454">
        <f t="shared" si="187"/>
        <v>7630</v>
      </c>
      <c r="DS146" s="454">
        <f t="shared" si="187"/>
        <v>11421.666666666668</v>
      </c>
      <c r="DT146" s="454">
        <f t="shared" si="187"/>
        <v>11130</v>
      </c>
    </row>
    <row r="147" spans="1:124" x14ac:dyDescent="0.25">
      <c r="A147" s="230"/>
      <c r="B147" s="831" t="s">
        <v>263</v>
      </c>
      <c r="C147" s="825" t="s">
        <v>274</v>
      </c>
      <c r="D147" s="438" t="s">
        <v>254</v>
      </c>
      <c r="E147" s="184">
        <f>F88</f>
        <v>3600</v>
      </c>
      <c r="F147" s="184">
        <f t="shared" ref="F147:AB147" si="188">E147</f>
        <v>3600</v>
      </c>
      <c r="G147" s="184">
        <f t="shared" si="188"/>
        <v>3600</v>
      </c>
      <c r="H147" s="184">
        <f t="shared" si="188"/>
        <v>3600</v>
      </c>
      <c r="I147" s="184">
        <f t="shared" si="188"/>
        <v>3600</v>
      </c>
      <c r="J147" s="184">
        <f t="shared" si="188"/>
        <v>3600</v>
      </c>
      <c r="K147" s="184">
        <f t="shared" si="188"/>
        <v>3600</v>
      </c>
      <c r="L147" s="184">
        <f t="shared" si="188"/>
        <v>3600</v>
      </c>
      <c r="M147" s="184">
        <f t="shared" si="188"/>
        <v>3600</v>
      </c>
      <c r="N147" s="184">
        <f t="shared" si="188"/>
        <v>3600</v>
      </c>
      <c r="O147" s="184">
        <f t="shared" si="188"/>
        <v>3600</v>
      </c>
      <c r="P147" s="184">
        <f t="shared" si="188"/>
        <v>3600</v>
      </c>
      <c r="Q147" s="184">
        <f>U88</f>
        <v>3600</v>
      </c>
      <c r="R147" s="184">
        <f t="shared" si="188"/>
        <v>3600</v>
      </c>
      <c r="S147" s="184">
        <f t="shared" si="188"/>
        <v>3600</v>
      </c>
      <c r="T147" s="184">
        <f t="shared" si="188"/>
        <v>3600</v>
      </c>
      <c r="U147" s="184">
        <f t="shared" si="188"/>
        <v>3600</v>
      </c>
      <c r="V147" s="184">
        <f t="shared" si="188"/>
        <v>3600</v>
      </c>
      <c r="W147" s="184">
        <f t="shared" si="188"/>
        <v>3600</v>
      </c>
      <c r="X147" s="184">
        <f t="shared" si="188"/>
        <v>3600</v>
      </c>
      <c r="Y147" s="184">
        <f t="shared" si="188"/>
        <v>3600</v>
      </c>
      <c r="Z147" s="184">
        <f t="shared" si="188"/>
        <v>3600</v>
      </c>
      <c r="AA147" s="184">
        <f t="shared" si="188"/>
        <v>3600</v>
      </c>
      <c r="AB147" s="184">
        <f t="shared" si="188"/>
        <v>3600</v>
      </c>
      <c r="AC147" s="184">
        <f>AG88</f>
        <v>3600</v>
      </c>
      <c r="AD147" s="184">
        <f t="shared" ref="AD147:AN147" si="189">AC147</f>
        <v>3600</v>
      </c>
      <c r="AE147" s="184">
        <f t="shared" si="189"/>
        <v>3600</v>
      </c>
      <c r="AF147" s="184">
        <f t="shared" si="189"/>
        <v>3600</v>
      </c>
      <c r="AG147" s="184">
        <f t="shared" si="189"/>
        <v>3600</v>
      </c>
      <c r="AH147" s="184">
        <f t="shared" si="189"/>
        <v>3600</v>
      </c>
      <c r="AI147" s="184">
        <f t="shared" si="189"/>
        <v>3600</v>
      </c>
      <c r="AJ147" s="184">
        <f t="shared" si="189"/>
        <v>3600</v>
      </c>
      <c r="AK147" s="184">
        <f t="shared" si="189"/>
        <v>3600</v>
      </c>
      <c r="AL147" s="184">
        <f t="shared" si="189"/>
        <v>3600</v>
      </c>
      <c r="AM147" s="184">
        <f t="shared" si="189"/>
        <v>3600</v>
      </c>
      <c r="AN147" s="184">
        <f t="shared" si="189"/>
        <v>3600</v>
      </c>
      <c r="AO147" s="184">
        <f>AS88</f>
        <v>3600</v>
      </c>
      <c r="AP147" s="184">
        <f t="shared" ref="AP147:AZ147" si="190">AO147</f>
        <v>3600</v>
      </c>
      <c r="AQ147" s="184">
        <f t="shared" si="190"/>
        <v>3600</v>
      </c>
      <c r="AR147" s="184">
        <f t="shared" si="190"/>
        <v>3600</v>
      </c>
      <c r="AS147" s="184">
        <f t="shared" si="190"/>
        <v>3600</v>
      </c>
      <c r="AT147" s="184">
        <f t="shared" si="190"/>
        <v>3600</v>
      </c>
      <c r="AU147" s="184">
        <f t="shared" si="190"/>
        <v>3600</v>
      </c>
      <c r="AV147" s="184">
        <f t="shared" si="190"/>
        <v>3600</v>
      </c>
      <c r="AW147" s="184">
        <f t="shared" si="190"/>
        <v>3600</v>
      </c>
      <c r="AX147" s="184">
        <f t="shared" si="190"/>
        <v>3600</v>
      </c>
      <c r="AY147" s="184">
        <f t="shared" si="190"/>
        <v>3600</v>
      </c>
      <c r="AZ147" s="184">
        <f t="shared" si="190"/>
        <v>3600</v>
      </c>
      <c r="BA147" s="184">
        <f>BE88</f>
        <v>3600</v>
      </c>
      <c r="BB147" s="184">
        <f t="shared" ref="BB147:BL147" si="191">BA147</f>
        <v>3600</v>
      </c>
      <c r="BC147" s="184">
        <f t="shared" si="191"/>
        <v>3600</v>
      </c>
      <c r="BD147" s="184">
        <f t="shared" si="191"/>
        <v>3600</v>
      </c>
      <c r="BE147" s="184">
        <f t="shared" si="191"/>
        <v>3600</v>
      </c>
      <c r="BF147" s="184">
        <f t="shared" si="191"/>
        <v>3600</v>
      </c>
      <c r="BG147" s="184">
        <f t="shared" si="191"/>
        <v>3600</v>
      </c>
      <c r="BH147" s="184">
        <f t="shared" si="191"/>
        <v>3600</v>
      </c>
      <c r="BI147" s="184">
        <f t="shared" si="191"/>
        <v>3600</v>
      </c>
      <c r="BJ147" s="184">
        <f t="shared" si="191"/>
        <v>3600</v>
      </c>
      <c r="BK147" s="184">
        <f t="shared" si="191"/>
        <v>3600</v>
      </c>
      <c r="BL147" s="184">
        <f t="shared" si="191"/>
        <v>3600</v>
      </c>
      <c r="BM147" s="184">
        <f>BQ88</f>
        <v>3600</v>
      </c>
      <c r="BN147" s="184">
        <f t="shared" ref="BN147:BX147" si="192">BM147</f>
        <v>3600</v>
      </c>
      <c r="BO147" s="184">
        <f t="shared" si="192"/>
        <v>3600</v>
      </c>
      <c r="BP147" s="184">
        <f t="shared" si="192"/>
        <v>3600</v>
      </c>
      <c r="BQ147" s="184">
        <f t="shared" si="192"/>
        <v>3600</v>
      </c>
      <c r="BR147" s="184">
        <f t="shared" si="192"/>
        <v>3600</v>
      </c>
      <c r="BS147" s="184">
        <f t="shared" si="192"/>
        <v>3600</v>
      </c>
      <c r="BT147" s="184">
        <f t="shared" si="192"/>
        <v>3600</v>
      </c>
      <c r="BU147" s="184">
        <f t="shared" si="192"/>
        <v>3600</v>
      </c>
      <c r="BV147" s="184">
        <f t="shared" si="192"/>
        <v>3600</v>
      </c>
      <c r="BW147" s="184">
        <f t="shared" si="192"/>
        <v>3600</v>
      </c>
      <c r="BX147" s="184">
        <f t="shared" si="192"/>
        <v>3600</v>
      </c>
      <c r="BY147" s="184">
        <f>CC88</f>
        <v>3600</v>
      </c>
      <c r="BZ147" s="184">
        <f t="shared" ref="BZ147:CJ147" si="193">BY147</f>
        <v>3600</v>
      </c>
      <c r="CA147" s="184">
        <f t="shared" si="193"/>
        <v>3600</v>
      </c>
      <c r="CB147" s="184">
        <f t="shared" si="193"/>
        <v>3600</v>
      </c>
      <c r="CC147" s="184">
        <f t="shared" si="193"/>
        <v>3600</v>
      </c>
      <c r="CD147" s="184">
        <f t="shared" si="193"/>
        <v>3600</v>
      </c>
      <c r="CE147" s="184">
        <f t="shared" si="193"/>
        <v>3600</v>
      </c>
      <c r="CF147" s="184">
        <f t="shared" si="193"/>
        <v>3600</v>
      </c>
      <c r="CG147" s="184">
        <f t="shared" si="193"/>
        <v>3600</v>
      </c>
      <c r="CH147" s="184">
        <f t="shared" si="193"/>
        <v>3600</v>
      </c>
      <c r="CI147" s="184">
        <f t="shared" si="193"/>
        <v>3600</v>
      </c>
      <c r="CJ147" s="184">
        <f t="shared" si="193"/>
        <v>3600</v>
      </c>
      <c r="CK147" s="184">
        <f>CO88</f>
        <v>5400</v>
      </c>
      <c r="CL147" s="184">
        <f t="shared" ref="CL147:CV147" si="194">CK147</f>
        <v>5400</v>
      </c>
      <c r="CM147" s="184">
        <f t="shared" si="194"/>
        <v>5400</v>
      </c>
      <c r="CN147" s="184">
        <f t="shared" si="194"/>
        <v>5400</v>
      </c>
      <c r="CO147" s="184">
        <f t="shared" si="194"/>
        <v>5400</v>
      </c>
      <c r="CP147" s="184">
        <f t="shared" si="194"/>
        <v>5400</v>
      </c>
      <c r="CQ147" s="184">
        <f t="shared" si="194"/>
        <v>5400</v>
      </c>
      <c r="CR147" s="184">
        <f t="shared" si="194"/>
        <v>5400</v>
      </c>
      <c r="CS147" s="184">
        <f t="shared" si="194"/>
        <v>5400</v>
      </c>
      <c r="CT147" s="184">
        <f t="shared" si="194"/>
        <v>5400</v>
      </c>
      <c r="CU147" s="184">
        <f t="shared" si="194"/>
        <v>5400</v>
      </c>
      <c r="CV147" s="184">
        <f t="shared" si="194"/>
        <v>5400</v>
      </c>
      <c r="CW147" s="184">
        <f>DA88</f>
        <v>5400</v>
      </c>
      <c r="CX147" s="184">
        <f t="shared" ref="CX147:DH147" si="195">CW147</f>
        <v>5400</v>
      </c>
      <c r="CY147" s="184">
        <f t="shared" si="195"/>
        <v>5400</v>
      </c>
      <c r="CZ147" s="184">
        <f t="shared" si="195"/>
        <v>5400</v>
      </c>
      <c r="DA147" s="184">
        <f t="shared" si="195"/>
        <v>5400</v>
      </c>
      <c r="DB147" s="184">
        <f t="shared" si="195"/>
        <v>5400</v>
      </c>
      <c r="DC147" s="184">
        <f t="shared" si="195"/>
        <v>5400</v>
      </c>
      <c r="DD147" s="184">
        <f t="shared" si="195"/>
        <v>5400</v>
      </c>
      <c r="DE147" s="184">
        <f t="shared" si="195"/>
        <v>5400</v>
      </c>
      <c r="DF147" s="184">
        <f t="shared" si="195"/>
        <v>5400</v>
      </c>
      <c r="DG147" s="184">
        <f t="shared" si="195"/>
        <v>5400</v>
      </c>
      <c r="DH147" s="184">
        <f t="shared" si="195"/>
        <v>5400</v>
      </c>
      <c r="DI147" s="184">
        <f>DM88</f>
        <v>5400</v>
      </c>
      <c r="DJ147" s="184">
        <f t="shared" ref="DJ147:DT147" si="196">DI147</f>
        <v>5400</v>
      </c>
      <c r="DK147" s="184">
        <f t="shared" si="196"/>
        <v>5400</v>
      </c>
      <c r="DL147" s="184">
        <f t="shared" si="196"/>
        <v>5400</v>
      </c>
      <c r="DM147" s="184">
        <f t="shared" si="196"/>
        <v>5400</v>
      </c>
      <c r="DN147" s="184">
        <f t="shared" si="196"/>
        <v>5400</v>
      </c>
      <c r="DO147" s="184">
        <f t="shared" si="196"/>
        <v>5400</v>
      </c>
      <c r="DP147" s="184">
        <f t="shared" si="196"/>
        <v>5400</v>
      </c>
      <c r="DQ147" s="184">
        <f t="shared" si="196"/>
        <v>5400</v>
      </c>
      <c r="DR147" s="184">
        <f t="shared" si="196"/>
        <v>5400</v>
      </c>
      <c r="DS147" s="184">
        <f t="shared" si="196"/>
        <v>5400</v>
      </c>
      <c r="DT147" s="184">
        <f t="shared" si="196"/>
        <v>5400</v>
      </c>
    </row>
    <row r="148" spans="1:124" x14ac:dyDescent="0.25">
      <c r="A148" s="230"/>
      <c r="B148" s="832"/>
      <c r="C148" s="826"/>
      <c r="D148" s="438" t="s">
        <v>270</v>
      </c>
      <c r="E148" s="184"/>
      <c r="F148" s="184"/>
      <c r="G148" s="184"/>
      <c r="H148" s="184"/>
      <c r="I148" s="184"/>
      <c r="J148" s="184"/>
      <c r="K148" s="184">
        <f>J147/2</f>
        <v>1800</v>
      </c>
      <c r="L148" s="184"/>
      <c r="M148" s="184"/>
      <c r="N148" s="184"/>
      <c r="O148" s="184"/>
      <c r="P148" s="184">
        <f>O147/2</f>
        <v>1800</v>
      </c>
      <c r="Q148" s="184"/>
      <c r="R148" s="184"/>
      <c r="S148" s="184"/>
      <c r="T148" s="184"/>
      <c r="U148" s="184"/>
      <c r="V148" s="184"/>
      <c r="W148" s="184">
        <f>V147/2</f>
        <v>1800</v>
      </c>
      <c r="X148" s="184"/>
      <c r="Y148" s="184"/>
      <c r="Z148" s="184"/>
      <c r="AA148" s="184"/>
      <c r="AB148" s="184">
        <f>AA147/2</f>
        <v>1800</v>
      </c>
      <c r="AC148" s="184"/>
      <c r="AD148" s="184"/>
      <c r="AE148" s="184"/>
      <c r="AF148" s="184"/>
      <c r="AG148" s="184"/>
      <c r="AH148" s="184"/>
      <c r="AI148" s="184">
        <f>AH147/2</f>
        <v>1800</v>
      </c>
      <c r="AJ148" s="184"/>
      <c r="AK148" s="184"/>
      <c r="AL148" s="184"/>
      <c r="AM148" s="184"/>
      <c r="AN148" s="184">
        <f>AM147/2</f>
        <v>1800</v>
      </c>
      <c r="AO148" s="184"/>
      <c r="AP148" s="184"/>
      <c r="AQ148" s="184"/>
      <c r="AR148" s="184"/>
      <c r="AS148" s="184"/>
      <c r="AT148" s="184"/>
      <c r="AU148" s="184">
        <f>AT147/2</f>
        <v>1800</v>
      </c>
      <c r="AV148" s="184"/>
      <c r="AW148" s="184"/>
      <c r="AX148" s="184"/>
      <c r="AY148" s="184"/>
      <c r="AZ148" s="184">
        <f>AY147/2</f>
        <v>1800</v>
      </c>
      <c r="BA148" s="184"/>
      <c r="BB148" s="184"/>
      <c r="BC148" s="184"/>
      <c r="BD148" s="184"/>
      <c r="BE148" s="184"/>
      <c r="BF148" s="184"/>
      <c r="BG148" s="184">
        <f>BF147/2</f>
        <v>1800</v>
      </c>
      <c r="BH148" s="184"/>
      <c r="BI148" s="184"/>
      <c r="BJ148" s="184"/>
      <c r="BK148" s="184"/>
      <c r="BL148" s="184">
        <f>BK147/2</f>
        <v>1800</v>
      </c>
      <c r="BM148" s="184"/>
      <c r="BN148" s="184"/>
      <c r="BO148" s="184"/>
      <c r="BP148" s="184"/>
      <c r="BQ148" s="184"/>
      <c r="BR148" s="184"/>
      <c r="BS148" s="184">
        <f>BR147/2</f>
        <v>1800</v>
      </c>
      <c r="BT148" s="184"/>
      <c r="BU148" s="184"/>
      <c r="BV148" s="184"/>
      <c r="BW148" s="184"/>
      <c r="BX148" s="184">
        <f>BW147/2</f>
        <v>1800</v>
      </c>
      <c r="BY148" s="184"/>
      <c r="BZ148" s="184"/>
      <c r="CA148" s="184"/>
      <c r="CB148" s="184"/>
      <c r="CC148" s="184"/>
      <c r="CD148" s="184"/>
      <c r="CE148" s="184">
        <f>CD147/2</f>
        <v>1800</v>
      </c>
      <c r="CF148" s="184"/>
      <c r="CG148" s="184"/>
      <c r="CH148" s="184"/>
      <c r="CI148" s="184"/>
      <c r="CJ148" s="184">
        <f>CI147/2</f>
        <v>1800</v>
      </c>
      <c r="CK148" s="184"/>
      <c r="CL148" s="184"/>
      <c r="CM148" s="184"/>
      <c r="CN148" s="184"/>
      <c r="CO148" s="184"/>
      <c r="CP148" s="184"/>
      <c r="CQ148" s="184">
        <f>CP147/2</f>
        <v>2700</v>
      </c>
      <c r="CR148" s="184"/>
      <c r="CS148" s="184"/>
      <c r="CT148" s="184"/>
      <c r="CU148" s="184"/>
      <c r="CV148" s="184">
        <f>CU147/2</f>
        <v>2700</v>
      </c>
      <c r="CW148" s="184"/>
      <c r="CX148" s="184"/>
      <c r="CY148" s="184"/>
      <c r="CZ148" s="184"/>
      <c r="DA148" s="184"/>
      <c r="DB148" s="184"/>
      <c r="DC148" s="184">
        <f>DB147/2</f>
        <v>2700</v>
      </c>
      <c r="DD148" s="184"/>
      <c r="DE148" s="184"/>
      <c r="DF148" s="184"/>
      <c r="DG148" s="184"/>
      <c r="DH148" s="184">
        <f>DG147/2</f>
        <v>2700</v>
      </c>
      <c r="DI148" s="184"/>
      <c r="DJ148" s="184"/>
      <c r="DK148" s="184"/>
      <c r="DL148" s="184"/>
      <c r="DM148" s="184"/>
      <c r="DN148" s="184"/>
      <c r="DO148" s="184">
        <f>DN147/2</f>
        <v>2700</v>
      </c>
      <c r="DP148" s="184"/>
      <c r="DQ148" s="184"/>
      <c r="DR148" s="184"/>
      <c r="DS148" s="184"/>
      <c r="DT148" s="184">
        <f>DS147/2</f>
        <v>2700</v>
      </c>
    </row>
    <row r="149" spans="1:124" x14ac:dyDescent="0.25">
      <c r="A149" s="230"/>
      <c r="B149" s="832"/>
      <c r="C149" s="826"/>
      <c r="D149" s="438" t="s">
        <v>271</v>
      </c>
      <c r="E149" s="184"/>
      <c r="F149" s="184"/>
      <c r="G149" s="184"/>
      <c r="H149" s="184"/>
      <c r="I149" s="184">
        <f>(((H147/2)+K148/6)/12)*6</f>
        <v>1050</v>
      </c>
      <c r="J149" s="184"/>
      <c r="K149" s="184"/>
      <c r="L149" s="184"/>
      <c r="M149" s="184"/>
      <c r="N149" s="184"/>
      <c r="O149" s="184">
        <f>(((N147/2)+P148/6)/12)*6</f>
        <v>1050</v>
      </c>
      <c r="P149" s="184"/>
      <c r="Q149" s="184"/>
      <c r="R149" s="184"/>
      <c r="S149" s="184"/>
      <c r="T149" s="184"/>
      <c r="U149" s="184">
        <f>(((T147/2)+W148/6)/12)*6</f>
        <v>1050</v>
      </c>
      <c r="V149" s="184"/>
      <c r="W149" s="184"/>
      <c r="X149" s="184"/>
      <c r="Y149" s="184"/>
      <c r="Z149" s="184"/>
      <c r="AA149" s="184">
        <f>(((Z147/2)+AB148/6)/12)*6</f>
        <v>1050</v>
      </c>
      <c r="AB149" s="184"/>
      <c r="AC149" s="184"/>
      <c r="AD149" s="184"/>
      <c r="AE149" s="184"/>
      <c r="AF149" s="184"/>
      <c r="AG149" s="184">
        <f>(((AF147/2)+AI148/6)/12)*6</f>
        <v>1050</v>
      </c>
      <c r="AH149" s="184"/>
      <c r="AI149" s="184"/>
      <c r="AJ149" s="184"/>
      <c r="AK149" s="184"/>
      <c r="AL149" s="184"/>
      <c r="AM149" s="184">
        <f>(((AL147/2)+AN148/6)/12)*6</f>
        <v>1050</v>
      </c>
      <c r="AN149" s="184"/>
      <c r="AO149" s="184"/>
      <c r="AP149" s="184"/>
      <c r="AQ149" s="184"/>
      <c r="AR149" s="184"/>
      <c r="AS149" s="184">
        <f>(((AR147/2)+AU148/6)/12)*6</f>
        <v>1050</v>
      </c>
      <c r="AT149" s="184"/>
      <c r="AU149" s="184"/>
      <c r="AV149" s="184"/>
      <c r="AW149" s="184"/>
      <c r="AX149" s="184"/>
      <c r="AY149" s="184">
        <f>(((AX147/2)+AZ148/6)/12)*6</f>
        <v>1050</v>
      </c>
      <c r="AZ149" s="184"/>
      <c r="BA149" s="184"/>
      <c r="BB149" s="184"/>
      <c r="BC149" s="184"/>
      <c r="BD149" s="184"/>
      <c r="BE149" s="184">
        <f>(((BD147/2)+BG148/6)/12)*6</f>
        <v>1050</v>
      </c>
      <c r="BF149" s="184"/>
      <c r="BG149" s="184"/>
      <c r="BH149" s="184"/>
      <c r="BI149" s="184"/>
      <c r="BJ149" s="184"/>
      <c r="BK149" s="184">
        <f>(((BJ147/2)+BL148/6)/12)*6</f>
        <v>1050</v>
      </c>
      <c r="BL149" s="184"/>
      <c r="BM149" s="184"/>
      <c r="BN149" s="184"/>
      <c r="BO149" s="184"/>
      <c r="BP149" s="184"/>
      <c r="BQ149" s="184">
        <f>(((BP147/2)+BS148/6)/12)*6</f>
        <v>1050</v>
      </c>
      <c r="BR149" s="184"/>
      <c r="BS149" s="184"/>
      <c r="BT149" s="184"/>
      <c r="BU149" s="184"/>
      <c r="BV149" s="184"/>
      <c r="BW149" s="184">
        <f>(((BV147/2)+BX148/6)/12)*6</f>
        <v>1050</v>
      </c>
      <c r="BX149" s="184"/>
      <c r="BY149" s="184"/>
      <c r="BZ149" s="184"/>
      <c r="CA149" s="184"/>
      <c r="CB149" s="184"/>
      <c r="CC149" s="184">
        <f>(((CB147/2)+CE148/6)/12)*6</f>
        <v>1050</v>
      </c>
      <c r="CD149" s="184"/>
      <c r="CE149" s="184"/>
      <c r="CF149" s="184"/>
      <c r="CG149" s="184"/>
      <c r="CH149" s="184"/>
      <c r="CI149" s="184">
        <f>(((CH147/2)+CJ148/6)/12)*6</f>
        <v>1050</v>
      </c>
      <c r="CJ149" s="184"/>
      <c r="CK149" s="184"/>
      <c r="CL149" s="184"/>
      <c r="CM149" s="184"/>
      <c r="CN149" s="184"/>
      <c r="CO149" s="184">
        <f>(((CN147/2)+CQ148/6)/12)*6</f>
        <v>1575</v>
      </c>
      <c r="CP149" s="184"/>
      <c r="CQ149" s="184"/>
      <c r="CR149" s="184"/>
      <c r="CS149" s="184"/>
      <c r="CT149" s="184"/>
      <c r="CU149" s="184">
        <f>(((CT147/2)+CV148/6)/12)*6</f>
        <v>1575</v>
      </c>
      <c r="CV149" s="184"/>
      <c r="CW149" s="184"/>
      <c r="CX149" s="184"/>
      <c r="CY149" s="184"/>
      <c r="CZ149" s="184"/>
      <c r="DA149" s="184">
        <f>(((CZ147/2)+DC148/6)/12)*6</f>
        <v>1575</v>
      </c>
      <c r="DB149" s="184"/>
      <c r="DC149" s="184"/>
      <c r="DD149" s="184"/>
      <c r="DE149" s="184"/>
      <c r="DF149" s="184"/>
      <c r="DG149" s="184">
        <f>(((DF147/2)+DH148/6)/12)*6</f>
        <v>1575</v>
      </c>
      <c r="DH149" s="184"/>
      <c r="DI149" s="184"/>
      <c r="DJ149" s="184"/>
      <c r="DK149" s="184"/>
      <c r="DL149" s="184"/>
      <c r="DM149" s="184">
        <f>(((DL147/2)+DO148/6)/12)*6</f>
        <v>1575</v>
      </c>
      <c r="DN149" s="184"/>
      <c r="DO149" s="184"/>
      <c r="DP149" s="184"/>
      <c r="DQ149" s="184"/>
      <c r="DR149" s="184"/>
      <c r="DS149" s="184">
        <f>(((DR147/2)+DT148/6)/12)*6</f>
        <v>1575</v>
      </c>
      <c r="DT149" s="184"/>
    </row>
    <row r="150" spans="1:124" x14ac:dyDescent="0.25">
      <c r="A150" s="230"/>
      <c r="B150" s="832"/>
      <c r="C150" s="826"/>
      <c r="D150" s="438" t="s">
        <v>592</v>
      </c>
      <c r="E150" s="184"/>
      <c r="F150" s="184"/>
      <c r="G150" s="184"/>
      <c r="H150" s="184"/>
      <c r="I150" s="184"/>
      <c r="J150" s="184"/>
      <c r="K150" s="184"/>
      <c r="L150" s="184"/>
      <c r="M150" s="184"/>
      <c r="N150" s="184"/>
      <c r="O150" s="184"/>
      <c r="P150" s="184"/>
      <c r="Q150" s="184">
        <f>(Q147/24)*12</f>
        <v>1800</v>
      </c>
      <c r="R150" s="184"/>
      <c r="S150" s="184"/>
      <c r="T150" s="184"/>
      <c r="U150" s="184"/>
      <c r="V150" s="184"/>
      <c r="W150" s="184"/>
      <c r="X150" s="184"/>
      <c r="Y150" s="184"/>
      <c r="Z150" s="184"/>
      <c r="AA150" s="184"/>
      <c r="AB150" s="184"/>
      <c r="AC150" s="184">
        <f>(AC147/24)*12</f>
        <v>1800</v>
      </c>
      <c r="AD150" s="184"/>
      <c r="AE150" s="184"/>
      <c r="AF150" s="184"/>
      <c r="AG150" s="184"/>
      <c r="AH150" s="184"/>
      <c r="AI150" s="184"/>
      <c r="AJ150" s="184"/>
      <c r="AK150" s="184"/>
      <c r="AL150" s="184"/>
      <c r="AM150" s="184"/>
      <c r="AN150" s="184"/>
      <c r="AO150" s="184">
        <f>(AO147/24)*12</f>
        <v>1800</v>
      </c>
      <c r="AP150" s="184"/>
      <c r="AQ150" s="184"/>
      <c r="AR150" s="184"/>
      <c r="AS150" s="184"/>
      <c r="AT150" s="184"/>
      <c r="AU150" s="184"/>
      <c r="AV150" s="184"/>
      <c r="AW150" s="184"/>
      <c r="AX150" s="184"/>
      <c r="AY150" s="184"/>
      <c r="AZ150" s="184"/>
      <c r="BA150" s="184">
        <f>(BA147/24)*12</f>
        <v>1800</v>
      </c>
      <c r="BB150" s="184"/>
      <c r="BC150" s="184"/>
      <c r="BD150" s="184"/>
      <c r="BE150" s="184"/>
      <c r="BF150" s="184"/>
      <c r="BG150" s="184"/>
      <c r="BH150" s="184"/>
      <c r="BI150" s="184"/>
      <c r="BJ150" s="184"/>
      <c r="BK150" s="184"/>
      <c r="BL150" s="184"/>
      <c r="BM150" s="184">
        <f>(BM147/24)*12</f>
        <v>1800</v>
      </c>
      <c r="BN150" s="184"/>
      <c r="BO150" s="184"/>
      <c r="BP150" s="184"/>
      <c r="BQ150" s="184"/>
      <c r="BR150" s="184"/>
      <c r="BS150" s="184"/>
      <c r="BT150" s="184"/>
      <c r="BU150" s="184"/>
      <c r="BV150" s="184"/>
      <c r="BW150" s="184"/>
      <c r="BX150" s="184"/>
      <c r="BY150" s="184">
        <f>(BY147/24)*12</f>
        <v>1800</v>
      </c>
      <c r="BZ150" s="184"/>
      <c r="CA150" s="184"/>
      <c r="CB150" s="184"/>
      <c r="CC150" s="184"/>
      <c r="CD150" s="184"/>
      <c r="CE150" s="184"/>
      <c r="CF150" s="184"/>
      <c r="CG150" s="184"/>
      <c r="CH150" s="184"/>
      <c r="CI150" s="184"/>
      <c r="CJ150" s="184"/>
      <c r="CK150" s="184">
        <f>(CK147/24)*12</f>
        <v>2700</v>
      </c>
      <c r="CL150" s="184"/>
      <c r="CM150" s="184"/>
      <c r="CN150" s="184"/>
      <c r="CO150" s="184"/>
      <c r="CP150" s="184"/>
      <c r="CQ150" s="184"/>
      <c r="CR150" s="184"/>
      <c r="CS150" s="184"/>
      <c r="CT150" s="184"/>
      <c r="CU150" s="184"/>
      <c r="CV150" s="184"/>
      <c r="CW150" s="184">
        <f>(CW147/24)*12</f>
        <v>2700</v>
      </c>
      <c r="CX150" s="184"/>
      <c r="CY150" s="184"/>
      <c r="CZ150" s="184"/>
      <c r="DA150" s="184"/>
      <c r="DB150" s="184"/>
      <c r="DC150" s="184"/>
      <c r="DD150" s="184"/>
      <c r="DE150" s="184"/>
      <c r="DF150" s="184"/>
      <c r="DG150" s="184"/>
      <c r="DH150" s="184"/>
      <c r="DI150" s="184">
        <f>(DI147/24)*12</f>
        <v>2700</v>
      </c>
      <c r="DJ150" s="184"/>
      <c r="DK150" s="184"/>
      <c r="DL150" s="184"/>
      <c r="DM150" s="184"/>
      <c r="DN150" s="184"/>
      <c r="DO150" s="184"/>
      <c r="DP150" s="184"/>
      <c r="DQ150" s="184"/>
      <c r="DR150" s="184"/>
      <c r="DS150" s="184"/>
      <c r="DT150" s="184"/>
    </row>
    <row r="151" spans="1:124" x14ac:dyDescent="0.25">
      <c r="A151" s="230"/>
      <c r="B151" s="832"/>
      <c r="C151" s="826"/>
      <c r="D151" s="438" t="s">
        <v>272</v>
      </c>
      <c r="E151" s="184">
        <f t="shared" ref="E151:BP151" si="197">E147*9%</f>
        <v>324</v>
      </c>
      <c r="F151" s="184">
        <f t="shared" si="197"/>
        <v>324</v>
      </c>
      <c r="G151" s="184">
        <f t="shared" si="197"/>
        <v>324</v>
      </c>
      <c r="H151" s="184">
        <f t="shared" si="197"/>
        <v>324</v>
      </c>
      <c r="I151" s="184">
        <f t="shared" si="197"/>
        <v>324</v>
      </c>
      <c r="J151" s="184">
        <f t="shared" si="197"/>
        <v>324</v>
      </c>
      <c r="K151" s="184">
        <f t="shared" si="197"/>
        <v>324</v>
      </c>
      <c r="L151" s="184">
        <f t="shared" si="197"/>
        <v>324</v>
      </c>
      <c r="M151" s="184">
        <f t="shared" si="197"/>
        <v>324</v>
      </c>
      <c r="N151" s="184">
        <f t="shared" si="197"/>
        <v>324</v>
      </c>
      <c r="O151" s="184">
        <f t="shared" si="197"/>
        <v>324</v>
      </c>
      <c r="P151" s="184">
        <f t="shared" si="197"/>
        <v>324</v>
      </c>
      <c r="Q151" s="184">
        <f t="shared" si="197"/>
        <v>324</v>
      </c>
      <c r="R151" s="184">
        <f t="shared" si="197"/>
        <v>324</v>
      </c>
      <c r="S151" s="184">
        <f t="shared" si="197"/>
        <v>324</v>
      </c>
      <c r="T151" s="184">
        <f t="shared" si="197"/>
        <v>324</v>
      </c>
      <c r="U151" s="184">
        <f t="shared" si="197"/>
        <v>324</v>
      </c>
      <c r="V151" s="184">
        <f t="shared" si="197"/>
        <v>324</v>
      </c>
      <c r="W151" s="184">
        <f t="shared" si="197"/>
        <v>324</v>
      </c>
      <c r="X151" s="184">
        <f t="shared" si="197"/>
        <v>324</v>
      </c>
      <c r="Y151" s="184">
        <f t="shared" si="197"/>
        <v>324</v>
      </c>
      <c r="Z151" s="184">
        <f t="shared" si="197"/>
        <v>324</v>
      </c>
      <c r="AA151" s="184">
        <f t="shared" si="197"/>
        <v>324</v>
      </c>
      <c r="AB151" s="184">
        <f t="shared" si="197"/>
        <v>324</v>
      </c>
      <c r="AC151" s="184">
        <f t="shared" si="197"/>
        <v>324</v>
      </c>
      <c r="AD151" s="184">
        <f t="shared" si="197"/>
        <v>324</v>
      </c>
      <c r="AE151" s="184">
        <f t="shared" si="197"/>
        <v>324</v>
      </c>
      <c r="AF151" s="184">
        <f t="shared" si="197"/>
        <v>324</v>
      </c>
      <c r="AG151" s="184">
        <f t="shared" si="197"/>
        <v>324</v>
      </c>
      <c r="AH151" s="184">
        <f t="shared" si="197"/>
        <v>324</v>
      </c>
      <c r="AI151" s="184">
        <f t="shared" si="197"/>
        <v>324</v>
      </c>
      <c r="AJ151" s="184">
        <f t="shared" si="197"/>
        <v>324</v>
      </c>
      <c r="AK151" s="184">
        <f t="shared" si="197"/>
        <v>324</v>
      </c>
      <c r="AL151" s="184">
        <f t="shared" si="197"/>
        <v>324</v>
      </c>
      <c r="AM151" s="184">
        <f t="shared" si="197"/>
        <v>324</v>
      </c>
      <c r="AN151" s="184">
        <f t="shared" si="197"/>
        <v>324</v>
      </c>
      <c r="AO151" s="184">
        <f t="shared" si="197"/>
        <v>324</v>
      </c>
      <c r="AP151" s="184">
        <f t="shared" si="197"/>
        <v>324</v>
      </c>
      <c r="AQ151" s="184">
        <f t="shared" si="197"/>
        <v>324</v>
      </c>
      <c r="AR151" s="184">
        <f t="shared" si="197"/>
        <v>324</v>
      </c>
      <c r="AS151" s="184">
        <f t="shared" si="197"/>
        <v>324</v>
      </c>
      <c r="AT151" s="184">
        <f t="shared" si="197"/>
        <v>324</v>
      </c>
      <c r="AU151" s="184">
        <f t="shared" si="197"/>
        <v>324</v>
      </c>
      <c r="AV151" s="184">
        <f t="shared" si="197"/>
        <v>324</v>
      </c>
      <c r="AW151" s="184">
        <f t="shared" si="197"/>
        <v>324</v>
      </c>
      <c r="AX151" s="184">
        <f t="shared" si="197"/>
        <v>324</v>
      </c>
      <c r="AY151" s="184">
        <f t="shared" si="197"/>
        <v>324</v>
      </c>
      <c r="AZ151" s="184">
        <f t="shared" si="197"/>
        <v>324</v>
      </c>
      <c r="BA151" s="184">
        <f t="shared" si="197"/>
        <v>324</v>
      </c>
      <c r="BB151" s="184">
        <f t="shared" si="197"/>
        <v>324</v>
      </c>
      <c r="BC151" s="184">
        <f t="shared" si="197"/>
        <v>324</v>
      </c>
      <c r="BD151" s="184">
        <f t="shared" si="197"/>
        <v>324</v>
      </c>
      <c r="BE151" s="184">
        <f t="shared" si="197"/>
        <v>324</v>
      </c>
      <c r="BF151" s="184">
        <f t="shared" si="197"/>
        <v>324</v>
      </c>
      <c r="BG151" s="184">
        <f t="shared" si="197"/>
        <v>324</v>
      </c>
      <c r="BH151" s="184">
        <f t="shared" si="197"/>
        <v>324</v>
      </c>
      <c r="BI151" s="184">
        <f t="shared" si="197"/>
        <v>324</v>
      </c>
      <c r="BJ151" s="184">
        <f t="shared" si="197"/>
        <v>324</v>
      </c>
      <c r="BK151" s="184">
        <f t="shared" si="197"/>
        <v>324</v>
      </c>
      <c r="BL151" s="184">
        <f t="shared" si="197"/>
        <v>324</v>
      </c>
      <c r="BM151" s="184">
        <f t="shared" si="197"/>
        <v>324</v>
      </c>
      <c r="BN151" s="184">
        <f t="shared" si="197"/>
        <v>324</v>
      </c>
      <c r="BO151" s="184">
        <f t="shared" si="197"/>
        <v>324</v>
      </c>
      <c r="BP151" s="184">
        <f t="shared" si="197"/>
        <v>324</v>
      </c>
      <c r="BQ151" s="184">
        <f t="shared" ref="BQ151:DT151" si="198">BQ147*9%</f>
        <v>324</v>
      </c>
      <c r="BR151" s="184">
        <f t="shared" si="198"/>
        <v>324</v>
      </c>
      <c r="BS151" s="184">
        <f t="shared" si="198"/>
        <v>324</v>
      </c>
      <c r="BT151" s="184">
        <f t="shared" si="198"/>
        <v>324</v>
      </c>
      <c r="BU151" s="184">
        <f t="shared" si="198"/>
        <v>324</v>
      </c>
      <c r="BV151" s="184">
        <f t="shared" si="198"/>
        <v>324</v>
      </c>
      <c r="BW151" s="184">
        <f t="shared" si="198"/>
        <v>324</v>
      </c>
      <c r="BX151" s="184">
        <f t="shared" si="198"/>
        <v>324</v>
      </c>
      <c r="BY151" s="184">
        <f t="shared" si="198"/>
        <v>324</v>
      </c>
      <c r="BZ151" s="184">
        <f t="shared" si="198"/>
        <v>324</v>
      </c>
      <c r="CA151" s="184">
        <f t="shared" si="198"/>
        <v>324</v>
      </c>
      <c r="CB151" s="184">
        <f t="shared" si="198"/>
        <v>324</v>
      </c>
      <c r="CC151" s="184">
        <f t="shared" si="198"/>
        <v>324</v>
      </c>
      <c r="CD151" s="184">
        <f t="shared" si="198"/>
        <v>324</v>
      </c>
      <c r="CE151" s="184">
        <f t="shared" si="198"/>
        <v>324</v>
      </c>
      <c r="CF151" s="184">
        <f t="shared" si="198"/>
        <v>324</v>
      </c>
      <c r="CG151" s="184">
        <f t="shared" si="198"/>
        <v>324</v>
      </c>
      <c r="CH151" s="184">
        <f t="shared" si="198"/>
        <v>324</v>
      </c>
      <c r="CI151" s="184">
        <f t="shared" si="198"/>
        <v>324</v>
      </c>
      <c r="CJ151" s="184">
        <f t="shared" si="198"/>
        <v>324</v>
      </c>
      <c r="CK151" s="184">
        <f t="shared" si="198"/>
        <v>486</v>
      </c>
      <c r="CL151" s="184">
        <f t="shared" si="198"/>
        <v>486</v>
      </c>
      <c r="CM151" s="184">
        <f t="shared" si="198"/>
        <v>486</v>
      </c>
      <c r="CN151" s="184">
        <f t="shared" si="198"/>
        <v>486</v>
      </c>
      <c r="CO151" s="184">
        <f t="shared" si="198"/>
        <v>486</v>
      </c>
      <c r="CP151" s="184">
        <f t="shared" si="198"/>
        <v>486</v>
      </c>
      <c r="CQ151" s="184">
        <f t="shared" si="198"/>
        <v>486</v>
      </c>
      <c r="CR151" s="184">
        <f t="shared" si="198"/>
        <v>486</v>
      </c>
      <c r="CS151" s="184">
        <f t="shared" si="198"/>
        <v>486</v>
      </c>
      <c r="CT151" s="184">
        <f t="shared" si="198"/>
        <v>486</v>
      </c>
      <c r="CU151" s="184">
        <f t="shared" si="198"/>
        <v>486</v>
      </c>
      <c r="CV151" s="184">
        <f t="shared" si="198"/>
        <v>486</v>
      </c>
      <c r="CW151" s="184">
        <f t="shared" si="198"/>
        <v>486</v>
      </c>
      <c r="CX151" s="184">
        <f t="shared" si="198"/>
        <v>486</v>
      </c>
      <c r="CY151" s="184">
        <f t="shared" si="198"/>
        <v>486</v>
      </c>
      <c r="CZ151" s="184">
        <f t="shared" si="198"/>
        <v>486</v>
      </c>
      <c r="DA151" s="184">
        <f t="shared" si="198"/>
        <v>486</v>
      </c>
      <c r="DB151" s="184">
        <f t="shared" si="198"/>
        <v>486</v>
      </c>
      <c r="DC151" s="184">
        <f t="shared" si="198"/>
        <v>486</v>
      </c>
      <c r="DD151" s="184">
        <f t="shared" si="198"/>
        <v>486</v>
      </c>
      <c r="DE151" s="184">
        <f t="shared" si="198"/>
        <v>486</v>
      </c>
      <c r="DF151" s="184">
        <f t="shared" si="198"/>
        <v>486</v>
      </c>
      <c r="DG151" s="184">
        <f t="shared" si="198"/>
        <v>486</v>
      </c>
      <c r="DH151" s="184">
        <f t="shared" si="198"/>
        <v>486</v>
      </c>
      <c r="DI151" s="184">
        <f t="shared" si="198"/>
        <v>486</v>
      </c>
      <c r="DJ151" s="184">
        <f t="shared" si="198"/>
        <v>486</v>
      </c>
      <c r="DK151" s="184">
        <f t="shared" si="198"/>
        <v>486</v>
      </c>
      <c r="DL151" s="184">
        <f t="shared" si="198"/>
        <v>486</v>
      </c>
      <c r="DM151" s="184">
        <f t="shared" si="198"/>
        <v>486</v>
      </c>
      <c r="DN151" s="184">
        <f t="shared" si="198"/>
        <v>486</v>
      </c>
      <c r="DO151" s="184">
        <f t="shared" si="198"/>
        <v>486</v>
      </c>
      <c r="DP151" s="184">
        <f t="shared" si="198"/>
        <v>486</v>
      </c>
      <c r="DQ151" s="184">
        <f t="shared" si="198"/>
        <v>486</v>
      </c>
      <c r="DR151" s="184">
        <f t="shared" si="198"/>
        <v>486</v>
      </c>
      <c r="DS151" s="184">
        <f t="shared" si="198"/>
        <v>486</v>
      </c>
      <c r="DT151" s="184">
        <f t="shared" si="198"/>
        <v>486</v>
      </c>
    </row>
    <row r="152" spans="1:124" x14ac:dyDescent="0.25">
      <c r="A152" s="230"/>
      <c r="B152" s="832"/>
      <c r="C152" s="827"/>
      <c r="D152" s="481" t="s">
        <v>273</v>
      </c>
      <c r="E152" s="454">
        <f t="shared" ref="E152:AB152" si="199">SUM(E147:E151)</f>
        <v>3924</v>
      </c>
      <c r="F152" s="454">
        <f t="shared" si="199"/>
        <v>3924</v>
      </c>
      <c r="G152" s="454">
        <f t="shared" si="199"/>
        <v>3924</v>
      </c>
      <c r="H152" s="454">
        <f t="shared" si="199"/>
        <v>3924</v>
      </c>
      <c r="I152" s="454">
        <f t="shared" si="199"/>
        <v>4974</v>
      </c>
      <c r="J152" s="454">
        <f t="shared" si="199"/>
        <v>3924</v>
      </c>
      <c r="K152" s="454">
        <f t="shared" si="199"/>
        <v>5724</v>
      </c>
      <c r="L152" s="454">
        <f t="shared" si="199"/>
        <v>3924</v>
      </c>
      <c r="M152" s="454">
        <f t="shared" si="199"/>
        <v>3924</v>
      </c>
      <c r="N152" s="454">
        <f t="shared" si="199"/>
        <v>3924</v>
      </c>
      <c r="O152" s="454">
        <f t="shared" si="199"/>
        <v>4974</v>
      </c>
      <c r="P152" s="454">
        <f t="shared" si="199"/>
        <v>5724</v>
      </c>
      <c r="Q152" s="454">
        <f t="shared" si="199"/>
        <v>5724</v>
      </c>
      <c r="R152" s="454">
        <f t="shared" si="199"/>
        <v>3924</v>
      </c>
      <c r="S152" s="454">
        <f t="shared" si="199"/>
        <v>3924</v>
      </c>
      <c r="T152" s="454">
        <f t="shared" si="199"/>
        <v>3924</v>
      </c>
      <c r="U152" s="454">
        <f t="shared" si="199"/>
        <v>4974</v>
      </c>
      <c r="V152" s="454">
        <f t="shared" si="199"/>
        <v>3924</v>
      </c>
      <c r="W152" s="454">
        <f t="shared" si="199"/>
        <v>5724</v>
      </c>
      <c r="X152" s="454">
        <f t="shared" si="199"/>
        <v>3924</v>
      </c>
      <c r="Y152" s="454">
        <f t="shared" si="199"/>
        <v>3924</v>
      </c>
      <c r="Z152" s="454">
        <f t="shared" si="199"/>
        <v>3924</v>
      </c>
      <c r="AA152" s="454">
        <f t="shared" si="199"/>
        <v>4974</v>
      </c>
      <c r="AB152" s="454">
        <f t="shared" si="199"/>
        <v>5724</v>
      </c>
      <c r="AC152" s="454">
        <f t="shared" ref="AC152:CN152" si="200">SUM(AC147:AC151)</f>
        <v>5724</v>
      </c>
      <c r="AD152" s="454">
        <f t="shared" si="200"/>
        <v>3924</v>
      </c>
      <c r="AE152" s="454">
        <f t="shared" si="200"/>
        <v>3924</v>
      </c>
      <c r="AF152" s="454">
        <f t="shared" si="200"/>
        <v>3924</v>
      </c>
      <c r="AG152" s="454">
        <f t="shared" si="200"/>
        <v>4974</v>
      </c>
      <c r="AH152" s="454">
        <f t="shared" si="200"/>
        <v>3924</v>
      </c>
      <c r="AI152" s="454">
        <f t="shared" si="200"/>
        <v>5724</v>
      </c>
      <c r="AJ152" s="454">
        <f t="shared" si="200"/>
        <v>3924</v>
      </c>
      <c r="AK152" s="454">
        <f t="shared" si="200"/>
        <v>3924</v>
      </c>
      <c r="AL152" s="454">
        <f t="shared" si="200"/>
        <v>3924</v>
      </c>
      <c r="AM152" s="454">
        <f t="shared" si="200"/>
        <v>4974</v>
      </c>
      <c r="AN152" s="454">
        <f t="shared" si="200"/>
        <v>5724</v>
      </c>
      <c r="AO152" s="454">
        <f t="shared" si="200"/>
        <v>5724</v>
      </c>
      <c r="AP152" s="454">
        <f t="shared" si="200"/>
        <v>3924</v>
      </c>
      <c r="AQ152" s="454">
        <f t="shared" si="200"/>
        <v>3924</v>
      </c>
      <c r="AR152" s="454">
        <f t="shared" si="200"/>
        <v>3924</v>
      </c>
      <c r="AS152" s="454">
        <f t="shared" si="200"/>
        <v>4974</v>
      </c>
      <c r="AT152" s="454">
        <f t="shared" si="200"/>
        <v>3924</v>
      </c>
      <c r="AU152" s="454">
        <f t="shared" si="200"/>
        <v>5724</v>
      </c>
      <c r="AV152" s="454">
        <f t="shared" si="200"/>
        <v>3924</v>
      </c>
      <c r="AW152" s="454">
        <f t="shared" si="200"/>
        <v>3924</v>
      </c>
      <c r="AX152" s="454">
        <f t="shared" si="200"/>
        <v>3924</v>
      </c>
      <c r="AY152" s="454">
        <f t="shared" si="200"/>
        <v>4974</v>
      </c>
      <c r="AZ152" s="454">
        <f t="shared" si="200"/>
        <v>5724</v>
      </c>
      <c r="BA152" s="454">
        <f t="shared" si="200"/>
        <v>5724</v>
      </c>
      <c r="BB152" s="454">
        <f t="shared" si="200"/>
        <v>3924</v>
      </c>
      <c r="BC152" s="454">
        <f t="shared" si="200"/>
        <v>3924</v>
      </c>
      <c r="BD152" s="454">
        <f t="shared" si="200"/>
        <v>3924</v>
      </c>
      <c r="BE152" s="454">
        <f t="shared" si="200"/>
        <v>4974</v>
      </c>
      <c r="BF152" s="454">
        <f t="shared" si="200"/>
        <v>3924</v>
      </c>
      <c r="BG152" s="454">
        <f t="shared" si="200"/>
        <v>5724</v>
      </c>
      <c r="BH152" s="454">
        <f t="shared" si="200"/>
        <v>3924</v>
      </c>
      <c r="BI152" s="454">
        <f t="shared" si="200"/>
        <v>3924</v>
      </c>
      <c r="BJ152" s="454">
        <f t="shared" si="200"/>
        <v>3924</v>
      </c>
      <c r="BK152" s="454">
        <f t="shared" si="200"/>
        <v>4974</v>
      </c>
      <c r="BL152" s="454">
        <f t="shared" si="200"/>
        <v>5724</v>
      </c>
      <c r="BM152" s="454">
        <f t="shared" si="200"/>
        <v>5724</v>
      </c>
      <c r="BN152" s="454">
        <f t="shared" si="200"/>
        <v>3924</v>
      </c>
      <c r="BO152" s="454">
        <f t="shared" si="200"/>
        <v>3924</v>
      </c>
      <c r="BP152" s="454">
        <f t="shared" si="200"/>
        <v>3924</v>
      </c>
      <c r="BQ152" s="454">
        <f t="shared" si="200"/>
        <v>4974</v>
      </c>
      <c r="BR152" s="454">
        <f t="shared" si="200"/>
        <v>3924</v>
      </c>
      <c r="BS152" s="454">
        <f t="shared" si="200"/>
        <v>5724</v>
      </c>
      <c r="BT152" s="454">
        <f t="shared" si="200"/>
        <v>3924</v>
      </c>
      <c r="BU152" s="454">
        <f t="shared" si="200"/>
        <v>3924</v>
      </c>
      <c r="BV152" s="454">
        <f t="shared" si="200"/>
        <v>3924</v>
      </c>
      <c r="BW152" s="454">
        <f t="shared" si="200"/>
        <v>4974</v>
      </c>
      <c r="BX152" s="454">
        <f t="shared" si="200"/>
        <v>5724</v>
      </c>
      <c r="BY152" s="454">
        <f t="shared" si="200"/>
        <v>5724</v>
      </c>
      <c r="BZ152" s="454">
        <f t="shared" si="200"/>
        <v>3924</v>
      </c>
      <c r="CA152" s="454">
        <f t="shared" si="200"/>
        <v>3924</v>
      </c>
      <c r="CB152" s="454">
        <f t="shared" si="200"/>
        <v>3924</v>
      </c>
      <c r="CC152" s="454">
        <f t="shared" si="200"/>
        <v>4974</v>
      </c>
      <c r="CD152" s="454">
        <f t="shared" si="200"/>
        <v>3924</v>
      </c>
      <c r="CE152" s="454">
        <f t="shared" si="200"/>
        <v>5724</v>
      </c>
      <c r="CF152" s="454">
        <f t="shared" si="200"/>
        <v>3924</v>
      </c>
      <c r="CG152" s="454">
        <f t="shared" si="200"/>
        <v>3924</v>
      </c>
      <c r="CH152" s="454">
        <f t="shared" si="200"/>
        <v>3924</v>
      </c>
      <c r="CI152" s="454">
        <f t="shared" si="200"/>
        <v>4974</v>
      </c>
      <c r="CJ152" s="454">
        <f t="shared" si="200"/>
        <v>5724</v>
      </c>
      <c r="CK152" s="454">
        <f t="shared" si="200"/>
        <v>8586</v>
      </c>
      <c r="CL152" s="454">
        <f t="shared" si="200"/>
        <v>5886</v>
      </c>
      <c r="CM152" s="454">
        <f t="shared" si="200"/>
        <v>5886</v>
      </c>
      <c r="CN152" s="454">
        <f t="shared" si="200"/>
        <v>5886</v>
      </c>
      <c r="CO152" s="454">
        <f t="shared" ref="CO152:DT152" si="201">SUM(CO147:CO151)</f>
        <v>7461</v>
      </c>
      <c r="CP152" s="454">
        <f t="shared" si="201"/>
        <v>5886</v>
      </c>
      <c r="CQ152" s="454">
        <f t="shared" si="201"/>
        <v>8586</v>
      </c>
      <c r="CR152" s="454">
        <f t="shared" si="201"/>
        <v>5886</v>
      </c>
      <c r="CS152" s="454">
        <f t="shared" si="201"/>
        <v>5886</v>
      </c>
      <c r="CT152" s="454">
        <f t="shared" si="201"/>
        <v>5886</v>
      </c>
      <c r="CU152" s="454">
        <f t="shared" si="201"/>
        <v>7461</v>
      </c>
      <c r="CV152" s="454">
        <f t="shared" si="201"/>
        <v>8586</v>
      </c>
      <c r="CW152" s="454">
        <f t="shared" si="201"/>
        <v>8586</v>
      </c>
      <c r="CX152" s="454">
        <f t="shared" si="201"/>
        <v>5886</v>
      </c>
      <c r="CY152" s="454">
        <f t="shared" si="201"/>
        <v>5886</v>
      </c>
      <c r="CZ152" s="454">
        <f t="shared" si="201"/>
        <v>5886</v>
      </c>
      <c r="DA152" s="454">
        <f t="shared" si="201"/>
        <v>7461</v>
      </c>
      <c r="DB152" s="454">
        <f t="shared" si="201"/>
        <v>5886</v>
      </c>
      <c r="DC152" s="454">
        <f t="shared" si="201"/>
        <v>8586</v>
      </c>
      <c r="DD152" s="454">
        <f t="shared" si="201"/>
        <v>5886</v>
      </c>
      <c r="DE152" s="454">
        <f t="shared" si="201"/>
        <v>5886</v>
      </c>
      <c r="DF152" s="454">
        <f t="shared" si="201"/>
        <v>5886</v>
      </c>
      <c r="DG152" s="454">
        <f t="shared" si="201"/>
        <v>7461</v>
      </c>
      <c r="DH152" s="454">
        <f t="shared" si="201"/>
        <v>8586</v>
      </c>
      <c r="DI152" s="454">
        <f t="shared" si="201"/>
        <v>8586</v>
      </c>
      <c r="DJ152" s="454">
        <f t="shared" si="201"/>
        <v>5886</v>
      </c>
      <c r="DK152" s="454">
        <f t="shared" si="201"/>
        <v>5886</v>
      </c>
      <c r="DL152" s="454">
        <f t="shared" si="201"/>
        <v>5886</v>
      </c>
      <c r="DM152" s="454">
        <f t="shared" si="201"/>
        <v>7461</v>
      </c>
      <c r="DN152" s="454">
        <f t="shared" si="201"/>
        <v>5886</v>
      </c>
      <c r="DO152" s="454">
        <f t="shared" si="201"/>
        <v>8586</v>
      </c>
      <c r="DP152" s="454">
        <f t="shared" si="201"/>
        <v>5886</v>
      </c>
      <c r="DQ152" s="454">
        <f t="shared" si="201"/>
        <v>5886</v>
      </c>
      <c r="DR152" s="454">
        <f t="shared" si="201"/>
        <v>5886</v>
      </c>
      <c r="DS152" s="454">
        <f t="shared" si="201"/>
        <v>7461</v>
      </c>
      <c r="DT152" s="454">
        <f t="shared" si="201"/>
        <v>8586</v>
      </c>
    </row>
    <row r="153" spans="1:124" x14ac:dyDescent="0.25">
      <c r="A153" s="230"/>
      <c r="B153" s="832"/>
      <c r="C153" s="825" t="s">
        <v>278</v>
      </c>
      <c r="D153" s="438" t="s">
        <v>254</v>
      </c>
      <c r="E153" s="184">
        <f>F89</f>
        <v>900</v>
      </c>
      <c r="F153" s="184">
        <f t="shared" ref="F153:AB153" si="202">E153</f>
        <v>900</v>
      </c>
      <c r="G153" s="184">
        <f t="shared" si="202"/>
        <v>900</v>
      </c>
      <c r="H153" s="184">
        <f t="shared" si="202"/>
        <v>900</v>
      </c>
      <c r="I153" s="184">
        <f t="shared" si="202"/>
        <v>900</v>
      </c>
      <c r="J153" s="184">
        <f t="shared" si="202"/>
        <v>900</v>
      </c>
      <c r="K153" s="184">
        <f t="shared" si="202"/>
        <v>900</v>
      </c>
      <c r="L153" s="184">
        <f t="shared" si="202"/>
        <v>900</v>
      </c>
      <c r="M153" s="184">
        <f t="shared" si="202"/>
        <v>900</v>
      </c>
      <c r="N153" s="184">
        <f t="shared" si="202"/>
        <v>900</v>
      </c>
      <c r="O153" s="184">
        <f t="shared" si="202"/>
        <v>900</v>
      </c>
      <c r="P153" s="184">
        <f t="shared" si="202"/>
        <v>900</v>
      </c>
      <c r="Q153" s="184">
        <f>U89</f>
        <v>900</v>
      </c>
      <c r="R153" s="184">
        <f t="shared" si="202"/>
        <v>900</v>
      </c>
      <c r="S153" s="184">
        <f t="shared" si="202"/>
        <v>900</v>
      </c>
      <c r="T153" s="184">
        <f t="shared" si="202"/>
        <v>900</v>
      </c>
      <c r="U153" s="184">
        <f t="shared" si="202"/>
        <v>900</v>
      </c>
      <c r="V153" s="184">
        <f t="shared" si="202"/>
        <v>900</v>
      </c>
      <c r="W153" s="184">
        <f t="shared" si="202"/>
        <v>900</v>
      </c>
      <c r="X153" s="184">
        <f t="shared" si="202"/>
        <v>900</v>
      </c>
      <c r="Y153" s="184">
        <f t="shared" si="202"/>
        <v>900</v>
      </c>
      <c r="Z153" s="184">
        <f t="shared" si="202"/>
        <v>900</v>
      </c>
      <c r="AA153" s="184">
        <f t="shared" si="202"/>
        <v>900</v>
      </c>
      <c r="AB153" s="184">
        <f t="shared" si="202"/>
        <v>900</v>
      </c>
      <c r="AC153" s="184">
        <f>AG89</f>
        <v>1800</v>
      </c>
      <c r="AD153" s="184">
        <f t="shared" ref="AD153:AN153" si="203">AC153</f>
        <v>1800</v>
      </c>
      <c r="AE153" s="184">
        <f t="shared" si="203"/>
        <v>1800</v>
      </c>
      <c r="AF153" s="184">
        <f t="shared" si="203"/>
        <v>1800</v>
      </c>
      <c r="AG153" s="184">
        <f t="shared" si="203"/>
        <v>1800</v>
      </c>
      <c r="AH153" s="184">
        <f t="shared" si="203"/>
        <v>1800</v>
      </c>
      <c r="AI153" s="184">
        <f t="shared" si="203"/>
        <v>1800</v>
      </c>
      <c r="AJ153" s="184">
        <f t="shared" si="203"/>
        <v>1800</v>
      </c>
      <c r="AK153" s="184">
        <f t="shared" si="203"/>
        <v>1800</v>
      </c>
      <c r="AL153" s="184">
        <f t="shared" si="203"/>
        <v>1800</v>
      </c>
      <c r="AM153" s="184">
        <f t="shared" si="203"/>
        <v>1800</v>
      </c>
      <c r="AN153" s="184">
        <f t="shared" si="203"/>
        <v>1800</v>
      </c>
      <c r="AO153" s="184">
        <f>AS89</f>
        <v>1800</v>
      </c>
      <c r="AP153" s="184">
        <f t="shared" ref="AP153:AZ153" si="204">AO153</f>
        <v>1800</v>
      </c>
      <c r="AQ153" s="184">
        <f t="shared" si="204"/>
        <v>1800</v>
      </c>
      <c r="AR153" s="184">
        <f t="shared" si="204"/>
        <v>1800</v>
      </c>
      <c r="AS153" s="184">
        <f t="shared" si="204"/>
        <v>1800</v>
      </c>
      <c r="AT153" s="184">
        <f t="shared" si="204"/>
        <v>1800</v>
      </c>
      <c r="AU153" s="184">
        <f t="shared" si="204"/>
        <v>1800</v>
      </c>
      <c r="AV153" s="184">
        <f t="shared" si="204"/>
        <v>1800</v>
      </c>
      <c r="AW153" s="184">
        <f t="shared" si="204"/>
        <v>1800</v>
      </c>
      <c r="AX153" s="184">
        <f t="shared" si="204"/>
        <v>1800</v>
      </c>
      <c r="AY153" s="184">
        <f t="shared" si="204"/>
        <v>1800</v>
      </c>
      <c r="AZ153" s="184">
        <f t="shared" si="204"/>
        <v>1800</v>
      </c>
      <c r="BA153" s="184">
        <f>BE89</f>
        <v>2700</v>
      </c>
      <c r="BB153" s="184">
        <f t="shared" ref="BB153:BL153" si="205">BA153</f>
        <v>2700</v>
      </c>
      <c r="BC153" s="184">
        <f t="shared" si="205"/>
        <v>2700</v>
      </c>
      <c r="BD153" s="184">
        <f t="shared" si="205"/>
        <v>2700</v>
      </c>
      <c r="BE153" s="184">
        <f t="shared" si="205"/>
        <v>2700</v>
      </c>
      <c r="BF153" s="184">
        <f t="shared" si="205"/>
        <v>2700</v>
      </c>
      <c r="BG153" s="184">
        <f t="shared" si="205"/>
        <v>2700</v>
      </c>
      <c r="BH153" s="184">
        <f t="shared" si="205"/>
        <v>2700</v>
      </c>
      <c r="BI153" s="184">
        <f t="shared" si="205"/>
        <v>2700</v>
      </c>
      <c r="BJ153" s="184">
        <f t="shared" si="205"/>
        <v>2700</v>
      </c>
      <c r="BK153" s="184">
        <f t="shared" si="205"/>
        <v>2700</v>
      </c>
      <c r="BL153" s="184">
        <f t="shared" si="205"/>
        <v>2700</v>
      </c>
      <c r="BM153" s="184">
        <f>BQ89</f>
        <v>2700</v>
      </c>
      <c r="BN153" s="184">
        <f t="shared" ref="BN153:BX153" si="206">BM153</f>
        <v>2700</v>
      </c>
      <c r="BO153" s="184">
        <f t="shared" si="206"/>
        <v>2700</v>
      </c>
      <c r="BP153" s="184">
        <f t="shared" si="206"/>
        <v>2700</v>
      </c>
      <c r="BQ153" s="184">
        <f t="shared" si="206"/>
        <v>2700</v>
      </c>
      <c r="BR153" s="184">
        <f t="shared" si="206"/>
        <v>2700</v>
      </c>
      <c r="BS153" s="184">
        <f t="shared" si="206"/>
        <v>2700</v>
      </c>
      <c r="BT153" s="184">
        <f t="shared" si="206"/>
        <v>2700</v>
      </c>
      <c r="BU153" s="184">
        <f t="shared" si="206"/>
        <v>2700</v>
      </c>
      <c r="BV153" s="184">
        <f t="shared" si="206"/>
        <v>2700</v>
      </c>
      <c r="BW153" s="184">
        <f t="shared" si="206"/>
        <v>2700</v>
      </c>
      <c r="BX153" s="184">
        <f t="shared" si="206"/>
        <v>2700</v>
      </c>
      <c r="BY153" s="184">
        <f>CC89</f>
        <v>2700</v>
      </c>
      <c r="BZ153" s="184">
        <f t="shared" ref="BZ153:CJ153" si="207">BY153</f>
        <v>2700</v>
      </c>
      <c r="CA153" s="184">
        <f t="shared" si="207"/>
        <v>2700</v>
      </c>
      <c r="CB153" s="184">
        <f t="shared" si="207"/>
        <v>2700</v>
      </c>
      <c r="CC153" s="184">
        <f t="shared" si="207"/>
        <v>2700</v>
      </c>
      <c r="CD153" s="184">
        <f t="shared" si="207"/>
        <v>2700</v>
      </c>
      <c r="CE153" s="184">
        <f t="shared" si="207"/>
        <v>2700</v>
      </c>
      <c r="CF153" s="184">
        <f t="shared" si="207"/>
        <v>2700</v>
      </c>
      <c r="CG153" s="184">
        <f t="shared" si="207"/>
        <v>2700</v>
      </c>
      <c r="CH153" s="184">
        <f t="shared" si="207"/>
        <v>2700</v>
      </c>
      <c r="CI153" s="184">
        <f t="shared" si="207"/>
        <v>2700</v>
      </c>
      <c r="CJ153" s="184">
        <f t="shared" si="207"/>
        <v>2700</v>
      </c>
      <c r="CK153" s="184">
        <f>CO89</f>
        <v>2700</v>
      </c>
      <c r="CL153" s="184">
        <f t="shared" ref="CL153:CV153" si="208">CK153</f>
        <v>2700</v>
      </c>
      <c r="CM153" s="184">
        <f t="shared" si="208"/>
        <v>2700</v>
      </c>
      <c r="CN153" s="184">
        <f t="shared" si="208"/>
        <v>2700</v>
      </c>
      <c r="CO153" s="184">
        <f t="shared" si="208"/>
        <v>2700</v>
      </c>
      <c r="CP153" s="184">
        <f t="shared" si="208"/>
        <v>2700</v>
      </c>
      <c r="CQ153" s="184">
        <f t="shared" si="208"/>
        <v>2700</v>
      </c>
      <c r="CR153" s="184">
        <f t="shared" si="208"/>
        <v>2700</v>
      </c>
      <c r="CS153" s="184">
        <f t="shared" si="208"/>
        <v>2700</v>
      </c>
      <c r="CT153" s="184">
        <f t="shared" si="208"/>
        <v>2700</v>
      </c>
      <c r="CU153" s="184">
        <f t="shared" si="208"/>
        <v>2700</v>
      </c>
      <c r="CV153" s="184">
        <f t="shared" si="208"/>
        <v>2700</v>
      </c>
      <c r="CW153" s="184">
        <f>DA89</f>
        <v>2700</v>
      </c>
      <c r="CX153" s="184">
        <f t="shared" ref="CX153:DH153" si="209">CW153</f>
        <v>2700</v>
      </c>
      <c r="CY153" s="184">
        <f t="shared" si="209"/>
        <v>2700</v>
      </c>
      <c r="CZ153" s="184">
        <f t="shared" si="209"/>
        <v>2700</v>
      </c>
      <c r="DA153" s="184">
        <f t="shared" si="209"/>
        <v>2700</v>
      </c>
      <c r="DB153" s="184">
        <f t="shared" si="209"/>
        <v>2700</v>
      </c>
      <c r="DC153" s="184">
        <f t="shared" si="209"/>
        <v>2700</v>
      </c>
      <c r="DD153" s="184">
        <f t="shared" si="209"/>
        <v>2700</v>
      </c>
      <c r="DE153" s="184">
        <f t="shared" si="209"/>
        <v>2700</v>
      </c>
      <c r="DF153" s="184">
        <f t="shared" si="209"/>
        <v>2700</v>
      </c>
      <c r="DG153" s="184">
        <f t="shared" si="209"/>
        <v>2700</v>
      </c>
      <c r="DH153" s="184">
        <f t="shared" si="209"/>
        <v>2700</v>
      </c>
      <c r="DI153" s="184">
        <f>DM89</f>
        <v>2700</v>
      </c>
      <c r="DJ153" s="184">
        <f t="shared" ref="DJ153:DT153" si="210">DI153</f>
        <v>2700</v>
      </c>
      <c r="DK153" s="184">
        <f t="shared" si="210"/>
        <v>2700</v>
      </c>
      <c r="DL153" s="184">
        <f t="shared" si="210"/>
        <v>2700</v>
      </c>
      <c r="DM153" s="184">
        <f t="shared" si="210"/>
        <v>2700</v>
      </c>
      <c r="DN153" s="184">
        <f t="shared" si="210"/>
        <v>2700</v>
      </c>
      <c r="DO153" s="184">
        <f t="shared" si="210"/>
        <v>2700</v>
      </c>
      <c r="DP153" s="184">
        <f t="shared" si="210"/>
        <v>2700</v>
      </c>
      <c r="DQ153" s="184">
        <f t="shared" si="210"/>
        <v>2700</v>
      </c>
      <c r="DR153" s="184">
        <f t="shared" si="210"/>
        <v>2700</v>
      </c>
      <c r="DS153" s="184">
        <f t="shared" si="210"/>
        <v>2700</v>
      </c>
      <c r="DT153" s="184">
        <f t="shared" si="210"/>
        <v>2700</v>
      </c>
    </row>
    <row r="154" spans="1:124" x14ac:dyDescent="0.25">
      <c r="A154" s="230"/>
      <c r="B154" s="832"/>
      <c r="C154" s="826"/>
      <c r="D154" s="438" t="s">
        <v>270</v>
      </c>
      <c r="E154" s="184"/>
      <c r="F154" s="184"/>
      <c r="G154" s="184"/>
      <c r="H154" s="184"/>
      <c r="I154" s="184"/>
      <c r="J154" s="184"/>
      <c r="K154" s="184">
        <f>J153/2</f>
        <v>450</v>
      </c>
      <c r="L154" s="184"/>
      <c r="M154" s="184"/>
      <c r="N154" s="184"/>
      <c r="O154" s="184"/>
      <c r="P154" s="184">
        <f>O153/2</f>
        <v>450</v>
      </c>
      <c r="Q154" s="184"/>
      <c r="R154" s="184"/>
      <c r="S154" s="184"/>
      <c r="T154" s="184"/>
      <c r="U154" s="184"/>
      <c r="V154" s="184"/>
      <c r="W154" s="184">
        <f>V153/2</f>
        <v>450</v>
      </c>
      <c r="X154" s="184"/>
      <c r="Y154" s="184"/>
      <c r="Z154" s="184"/>
      <c r="AA154" s="184"/>
      <c r="AB154" s="184">
        <f>AA153/2</f>
        <v>450</v>
      </c>
      <c r="AC154" s="184"/>
      <c r="AD154" s="184"/>
      <c r="AE154" s="184"/>
      <c r="AF154" s="184"/>
      <c r="AG154" s="184"/>
      <c r="AH154" s="184"/>
      <c r="AI154" s="184">
        <f>AH153/2</f>
        <v>900</v>
      </c>
      <c r="AJ154" s="184"/>
      <c r="AK154" s="184"/>
      <c r="AL154" s="184"/>
      <c r="AM154" s="184"/>
      <c r="AN154" s="184">
        <f>AM153/2</f>
        <v>900</v>
      </c>
      <c r="AO154" s="184"/>
      <c r="AP154" s="184"/>
      <c r="AQ154" s="184"/>
      <c r="AR154" s="184"/>
      <c r="AS154" s="184"/>
      <c r="AT154" s="184"/>
      <c r="AU154" s="184">
        <f>AT153/2</f>
        <v>900</v>
      </c>
      <c r="AV154" s="184"/>
      <c r="AW154" s="184"/>
      <c r="AX154" s="184"/>
      <c r="AY154" s="184"/>
      <c r="AZ154" s="184">
        <f>AY153/2</f>
        <v>900</v>
      </c>
      <c r="BA154" s="184"/>
      <c r="BB154" s="184"/>
      <c r="BC154" s="184"/>
      <c r="BD154" s="184"/>
      <c r="BE154" s="184"/>
      <c r="BF154" s="184"/>
      <c r="BG154" s="184">
        <f>BF153/2</f>
        <v>1350</v>
      </c>
      <c r="BH154" s="184"/>
      <c r="BI154" s="184"/>
      <c r="BJ154" s="184"/>
      <c r="BK154" s="184"/>
      <c r="BL154" s="184">
        <f>BK153/2</f>
        <v>1350</v>
      </c>
      <c r="BM154" s="184"/>
      <c r="BN154" s="184"/>
      <c r="BO154" s="184"/>
      <c r="BP154" s="184"/>
      <c r="BQ154" s="184"/>
      <c r="BR154" s="184"/>
      <c r="BS154" s="184">
        <f>BR153/2</f>
        <v>1350</v>
      </c>
      <c r="BT154" s="184"/>
      <c r="BU154" s="184"/>
      <c r="BV154" s="184"/>
      <c r="BW154" s="184"/>
      <c r="BX154" s="184">
        <f>BW153/2</f>
        <v>1350</v>
      </c>
      <c r="BY154" s="184"/>
      <c r="BZ154" s="184"/>
      <c r="CA154" s="184"/>
      <c r="CB154" s="184"/>
      <c r="CC154" s="184"/>
      <c r="CD154" s="184"/>
      <c r="CE154" s="184">
        <f>CD153/2</f>
        <v>1350</v>
      </c>
      <c r="CF154" s="184"/>
      <c r="CG154" s="184"/>
      <c r="CH154" s="184"/>
      <c r="CI154" s="184"/>
      <c r="CJ154" s="184">
        <f>CI153/2</f>
        <v>1350</v>
      </c>
      <c r="CK154" s="184"/>
      <c r="CL154" s="184"/>
      <c r="CM154" s="184"/>
      <c r="CN154" s="184"/>
      <c r="CO154" s="184"/>
      <c r="CP154" s="184"/>
      <c r="CQ154" s="184">
        <f>CP153/2</f>
        <v>1350</v>
      </c>
      <c r="CR154" s="184"/>
      <c r="CS154" s="184"/>
      <c r="CT154" s="184"/>
      <c r="CU154" s="184"/>
      <c r="CV154" s="184">
        <f>CU153/2</f>
        <v>1350</v>
      </c>
      <c r="CW154" s="184"/>
      <c r="CX154" s="184"/>
      <c r="CY154" s="184"/>
      <c r="CZ154" s="184"/>
      <c r="DA154" s="184"/>
      <c r="DB154" s="184"/>
      <c r="DC154" s="184">
        <f>DB153/2</f>
        <v>1350</v>
      </c>
      <c r="DD154" s="184"/>
      <c r="DE154" s="184"/>
      <c r="DF154" s="184"/>
      <c r="DG154" s="184"/>
      <c r="DH154" s="184">
        <f>DG153/2</f>
        <v>1350</v>
      </c>
      <c r="DI154" s="184"/>
      <c r="DJ154" s="184"/>
      <c r="DK154" s="184"/>
      <c r="DL154" s="184"/>
      <c r="DM154" s="184"/>
      <c r="DN154" s="184"/>
      <c r="DO154" s="184">
        <f>DN153/2</f>
        <v>1350</v>
      </c>
      <c r="DP154" s="184"/>
      <c r="DQ154" s="184"/>
      <c r="DR154" s="184"/>
      <c r="DS154" s="184"/>
      <c r="DT154" s="184">
        <f>DS153/2</f>
        <v>1350</v>
      </c>
    </row>
    <row r="155" spans="1:124" x14ac:dyDescent="0.25">
      <c r="A155" s="230"/>
      <c r="B155" s="832"/>
      <c r="C155" s="826"/>
      <c r="D155" s="438" t="s">
        <v>272</v>
      </c>
      <c r="E155" s="184">
        <f t="shared" ref="E155:BP155" si="211">E153*9%</f>
        <v>81</v>
      </c>
      <c r="F155" s="184">
        <f t="shared" si="211"/>
        <v>81</v>
      </c>
      <c r="G155" s="184">
        <f t="shared" si="211"/>
        <v>81</v>
      </c>
      <c r="H155" s="184">
        <f t="shared" si="211"/>
        <v>81</v>
      </c>
      <c r="I155" s="184">
        <f t="shared" si="211"/>
        <v>81</v>
      </c>
      <c r="J155" s="184">
        <f t="shared" si="211"/>
        <v>81</v>
      </c>
      <c r="K155" s="184">
        <f t="shared" si="211"/>
        <v>81</v>
      </c>
      <c r="L155" s="184">
        <f t="shared" si="211"/>
        <v>81</v>
      </c>
      <c r="M155" s="184">
        <f t="shared" si="211"/>
        <v>81</v>
      </c>
      <c r="N155" s="184">
        <f t="shared" si="211"/>
        <v>81</v>
      </c>
      <c r="O155" s="184">
        <f t="shared" si="211"/>
        <v>81</v>
      </c>
      <c r="P155" s="184">
        <f t="shared" si="211"/>
        <v>81</v>
      </c>
      <c r="Q155" s="184">
        <f t="shared" si="211"/>
        <v>81</v>
      </c>
      <c r="R155" s="184">
        <f t="shared" si="211"/>
        <v>81</v>
      </c>
      <c r="S155" s="184">
        <f t="shared" si="211"/>
        <v>81</v>
      </c>
      <c r="T155" s="184">
        <f t="shared" si="211"/>
        <v>81</v>
      </c>
      <c r="U155" s="184">
        <f t="shared" si="211"/>
        <v>81</v>
      </c>
      <c r="V155" s="184">
        <f t="shared" si="211"/>
        <v>81</v>
      </c>
      <c r="W155" s="184">
        <f t="shared" si="211"/>
        <v>81</v>
      </c>
      <c r="X155" s="184">
        <f t="shared" si="211"/>
        <v>81</v>
      </c>
      <c r="Y155" s="184">
        <f t="shared" si="211"/>
        <v>81</v>
      </c>
      <c r="Z155" s="184">
        <f t="shared" si="211"/>
        <v>81</v>
      </c>
      <c r="AA155" s="184">
        <f t="shared" si="211"/>
        <v>81</v>
      </c>
      <c r="AB155" s="184">
        <f t="shared" si="211"/>
        <v>81</v>
      </c>
      <c r="AC155" s="184">
        <f t="shared" si="211"/>
        <v>162</v>
      </c>
      <c r="AD155" s="184">
        <f t="shared" si="211"/>
        <v>162</v>
      </c>
      <c r="AE155" s="184">
        <f t="shared" si="211"/>
        <v>162</v>
      </c>
      <c r="AF155" s="184">
        <f t="shared" si="211"/>
        <v>162</v>
      </c>
      <c r="AG155" s="184">
        <f t="shared" si="211"/>
        <v>162</v>
      </c>
      <c r="AH155" s="184">
        <f t="shared" si="211"/>
        <v>162</v>
      </c>
      <c r="AI155" s="184">
        <f t="shared" si="211"/>
        <v>162</v>
      </c>
      <c r="AJ155" s="184">
        <f t="shared" si="211"/>
        <v>162</v>
      </c>
      <c r="AK155" s="184">
        <f t="shared" si="211"/>
        <v>162</v>
      </c>
      <c r="AL155" s="184">
        <f t="shared" si="211"/>
        <v>162</v>
      </c>
      <c r="AM155" s="184">
        <f t="shared" si="211"/>
        <v>162</v>
      </c>
      <c r="AN155" s="184">
        <f t="shared" si="211"/>
        <v>162</v>
      </c>
      <c r="AO155" s="184">
        <f t="shared" si="211"/>
        <v>162</v>
      </c>
      <c r="AP155" s="184">
        <f t="shared" si="211"/>
        <v>162</v>
      </c>
      <c r="AQ155" s="184">
        <f t="shared" si="211"/>
        <v>162</v>
      </c>
      <c r="AR155" s="184">
        <f t="shared" si="211"/>
        <v>162</v>
      </c>
      <c r="AS155" s="184">
        <f t="shared" si="211"/>
        <v>162</v>
      </c>
      <c r="AT155" s="184">
        <f t="shared" si="211"/>
        <v>162</v>
      </c>
      <c r="AU155" s="184">
        <f t="shared" si="211"/>
        <v>162</v>
      </c>
      <c r="AV155" s="184">
        <f t="shared" si="211"/>
        <v>162</v>
      </c>
      <c r="AW155" s="184">
        <f t="shared" si="211"/>
        <v>162</v>
      </c>
      <c r="AX155" s="184">
        <f t="shared" si="211"/>
        <v>162</v>
      </c>
      <c r="AY155" s="184">
        <f t="shared" si="211"/>
        <v>162</v>
      </c>
      <c r="AZ155" s="184">
        <f t="shared" si="211"/>
        <v>162</v>
      </c>
      <c r="BA155" s="184">
        <f t="shared" si="211"/>
        <v>243</v>
      </c>
      <c r="BB155" s="184">
        <f t="shared" si="211"/>
        <v>243</v>
      </c>
      <c r="BC155" s="184">
        <f t="shared" si="211"/>
        <v>243</v>
      </c>
      <c r="BD155" s="184">
        <f t="shared" si="211"/>
        <v>243</v>
      </c>
      <c r="BE155" s="184">
        <f t="shared" si="211"/>
        <v>243</v>
      </c>
      <c r="BF155" s="184">
        <f t="shared" si="211"/>
        <v>243</v>
      </c>
      <c r="BG155" s="184">
        <f t="shared" si="211"/>
        <v>243</v>
      </c>
      <c r="BH155" s="184">
        <f t="shared" si="211"/>
        <v>243</v>
      </c>
      <c r="BI155" s="184">
        <f t="shared" si="211"/>
        <v>243</v>
      </c>
      <c r="BJ155" s="184">
        <f t="shared" si="211"/>
        <v>243</v>
      </c>
      <c r="BK155" s="184">
        <f t="shared" si="211"/>
        <v>243</v>
      </c>
      <c r="BL155" s="184">
        <f t="shared" si="211"/>
        <v>243</v>
      </c>
      <c r="BM155" s="184">
        <f t="shared" si="211"/>
        <v>243</v>
      </c>
      <c r="BN155" s="184">
        <f t="shared" si="211"/>
        <v>243</v>
      </c>
      <c r="BO155" s="184">
        <f t="shared" si="211"/>
        <v>243</v>
      </c>
      <c r="BP155" s="184">
        <f t="shared" si="211"/>
        <v>243</v>
      </c>
      <c r="BQ155" s="184">
        <f t="shared" ref="BQ155:DT155" si="212">BQ153*9%</f>
        <v>243</v>
      </c>
      <c r="BR155" s="184">
        <f t="shared" si="212"/>
        <v>243</v>
      </c>
      <c r="BS155" s="184">
        <f t="shared" si="212"/>
        <v>243</v>
      </c>
      <c r="BT155" s="184">
        <f t="shared" si="212"/>
        <v>243</v>
      </c>
      <c r="BU155" s="184">
        <f t="shared" si="212"/>
        <v>243</v>
      </c>
      <c r="BV155" s="184">
        <f t="shared" si="212"/>
        <v>243</v>
      </c>
      <c r="BW155" s="184">
        <f t="shared" si="212"/>
        <v>243</v>
      </c>
      <c r="BX155" s="184">
        <f t="shared" si="212"/>
        <v>243</v>
      </c>
      <c r="BY155" s="184">
        <f t="shared" si="212"/>
        <v>243</v>
      </c>
      <c r="BZ155" s="184">
        <f t="shared" si="212"/>
        <v>243</v>
      </c>
      <c r="CA155" s="184">
        <f t="shared" si="212"/>
        <v>243</v>
      </c>
      <c r="CB155" s="184">
        <f t="shared" si="212"/>
        <v>243</v>
      </c>
      <c r="CC155" s="184">
        <f t="shared" si="212"/>
        <v>243</v>
      </c>
      <c r="CD155" s="184">
        <f t="shared" si="212"/>
        <v>243</v>
      </c>
      <c r="CE155" s="184">
        <f t="shared" si="212"/>
        <v>243</v>
      </c>
      <c r="CF155" s="184">
        <f t="shared" si="212"/>
        <v>243</v>
      </c>
      <c r="CG155" s="184">
        <f t="shared" si="212"/>
        <v>243</v>
      </c>
      <c r="CH155" s="184">
        <f t="shared" si="212"/>
        <v>243</v>
      </c>
      <c r="CI155" s="184">
        <f t="shared" si="212"/>
        <v>243</v>
      </c>
      <c r="CJ155" s="184">
        <f t="shared" si="212"/>
        <v>243</v>
      </c>
      <c r="CK155" s="184">
        <f t="shared" si="212"/>
        <v>243</v>
      </c>
      <c r="CL155" s="184">
        <f t="shared" si="212"/>
        <v>243</v>
      </c>
      <c r="CM155" s="184">
        <f t="shared" si="212"/>
        <v>243</v>
      </c>
      <c r="CN155" s="184">
        <f t="shared" si="212"/>
        <v>243</v>
      </c>
      <c r="CO155" s="184">
        <f t="shared" si="212"/>
        <v>243</v>
      </c>
      <c r="CP155" s="184">
        <f t="shared" si="212"/>
        <v>243</v>
      </c>
      <c r="CQ155" s="184">
        <f t="shared" si="212"/>
        <v>243</v>
      </c>
      <c r="CR155" s="184">
        <f t="shared" si="212"/>
        <v>243</v>
      </c>
      <c r="CS155" s="184">
        <f t="shared" si="212"/>
        <v>243</v>
      </c>
      <c r="CT155" s="184">
        <f t="shared" si="212"/>
        <v>243</v>
      </c>
      <c r="CU155" s="184">
        <f t="shared" si="212"/>
        <v>243</v>
      </c>
      <c r="CV155" s="184">
        <f t="shared" si="212"/>
        <v>243</v>
      </c>
      <c r="CW155" s="184">
        <f t="shared" si="212"/>
        <v>243</v>
      </c>
      <c r="CX155" s="184">
        <f t="shared" si="212"/>
        <v>243</v>
      </c>
      <c r="CY155" s="184">
        <f t="shared" si="212"/>
        <v>243</v>
      </c>
      <c r="CZ155" s="184">
        <f t="shared" si="212"/>
        <v>243</v>
      </c>
      <c r="DA155" s="184">
        <f t="shared" si="212"/>
        <v>243</v>
      </c>
      <c r="DB155" s="184">
        <f t="shared" si="212"/>
        <v>243</v>
      </c>
      <c r="DC155" s="184">
        <f t="shared" si="212"/>
        <v>243</v>
      </c>
      <c r="DD155" s="184">
        <f t="shared" si="212"/>
        <v>243</v>
      </c>
      <c r="DE155" s="184">
        <f t="shared" si="212"/>
        <v>243</v>
      </c>
      <c r="DF155" s="184">
        <f t="shared" si="212"/>
        <v>243</v>
      </c>
      <c r="DG155" s="184">
        <f t="shared" si="212"/>
        <v>243</v>
      </c>
      <c r="DH155" s="184">
        <f t="shared" si="212"/>
        <v>243</v>
      </c>
      <c r="DI155" s="184">
        <f t="shared" si="212"/>
        <v>243</v>
      </c>
      <c r="DJ155" s="184">
        <f t="shared" si="212"/>
        <v>243</v>
      </c>
      <c r="DK155" s="184">
        <f t="shared" si="212"/>
        <v>243</v>
      </c>
      <c r="DL155" s="184">
        <f t="shared" si="212"/>
        <v>243</v>
      </c>
      <c r="DM155" s="184">
        <f t="shared" si="212"/>
        <v>243</v>
      </c>
      <c r="DN155" s="184">
        <f t="shared" si="212"/>
        <v>243</v>
      </c>
      <c r="DO155" s="184">
        <f t="shared" si="212"/>
        <v>243</v>
      </c>
      <c r="DP155" s="184">
        <f t="shared" si="212"/>
        <v>243</v>
      </c>
      <c r="DQ155" s="184">
        <f t="shared" si="212"/>
        <v>243</v>
      </c>
      <c r="DR155" s="184">
        <f t="shared" si="212"/>
        <v>243</v>
      </c>
      <c r="DS155" s="184">
        <f t="shared" si="212"/>
        <v>243</v>
      </c>
      <c r="DT155" s="184">
        <f t="shared" si="212"/>
        <v>243</v>
      </c>
    </row>
    <row r="156" spans="1:124" x14ac:dyDescent="0.25">
      <c r="A156" s="230"/>
      <c r="B156" s="833"/>
      <c r="C156" s="827"/>
      <c r="D156" s="481" t="s">
        <v>273</v>
      </c>
      <c r="E156" s="454">
        <f t="shared" ref="E156:BP156" si="213">SUM(E153:E155)</f>
        <v>981</v>
      </c>
      <c r="F156" s="454">
        <f t="shared" si="213"/>
        <v>981</v>
      </c>
      <c r="G156" s="454">
        <f t="shared" si="213"/>
        <v>981</v>
      </c>
      <c r="H156" s="454">
        <f t="shared" si="213"/>
        <v>981</v>
      </c>
      <c r="I156" s="454">
        <f t="shared" si="213"/>
        <v>981</v>
      </c>
      <c r="J156" s="454">
        <f t="shared" si="213"/>
        <v>981</v>
      </c>
      <c r="K156" s="454">
        <f t="shared" si="213"/>
        <v>1431</v>
      </c>
      <c r="L156" s="454">
        <f t="shared" si="213"/>
        <v>981</v>
      </c>
      <c r="M156" s="454">
        <f t="shared" si="213"/>
        <v>981</v>
      </c>
      <c r="N156" s="454">
        <f t="shared" si="213"/>
        <v>981</v>
      </c>
      <c r="O156" s="454">
        <f t="shared" si="213"/>
        <v>981</v>
      </c>
      <c r="P156" s="454">
        <f t="shared" si="213"/>
        <v>1431</v>
      </c>
      <c r="Q156" s="454">
        <f t="shared" si="213"/>
        <v>981</v>
      </c>
      <c r="R156" s="454">
        <f t="shared" si="213"/>
        <v>981</v>
      </c>
      <c r="S156" s="454">
        <f t="shared" si="213"/>
        <v>981</v>
      </c>
      <c r="T156" s="454">
        <f t="shared" si="213"/>
        <v>981</v>
      </c>
      <c r="U156" s="454">
        <f t="shared" si="213"/>
        <v>981</v>
      </c>
      <c r="V156" s="454">
        <f t="shared" si="213"/>
        <v>981</v>
      </c>
      <c r="W156" s="454">
        <f t="shared" si="213"/>
        <v>1431</v>
      </c>
      <c r="X156" s="454">
        <f t="shared" si="213"/>
        <v>981</v>
      </c>
      <c r="Y156" s="454">
        <f t="shared" si="213"/>
        <v>981</v>
      </c>
      <c r="Z156" s="454">
        <f t="shared" si="213"/>
        <v>981</v>
      </c>
      <c r="AA156" s="454">
        <f t="shared" si="213"/>
        <v>981</v>
      </c>
      <c r="AB156" s="454">
        <f t="shared" si="213"/>
        <v>1431</v>
      </c>
      <c r="AC156" s="454">
        <f t="shared" si="213"/>
        <v>1962</v>
      </c>
      <c r="AD156" s="454">
        <f t="shared" si="213"/>
        <v>1962</v>
      </c>
      <c r="AE156" s="454">
        <f t="shared" si="213"/>
        <v>1962</v>
      </c>
      <c r="AF156" s="454">
        <f t="shared" si="213"/>
        <v>1962</v>
      </c>
      <c r="AG156" s="454">
        <f t="shared" si="213"/>
        <v>1962</v>
      </c>
      <c r="AH156" s="454">
        <f t="shared" si="213"/>
        <v>1962</v>
      </c>
      <c r="AI156" s="454">
        <f t="shared" si="213"/>
        <v>2862</v>
      </c>
      <c r="AJ156" s="454">
        <f t="shared" si="213"/>
        <v>1962</v>
      </c>
      <c r="AK156" s="454">
        <f t="shared" si="213"/>
        <v>1962</v>
      </c>
      <c r="AL156" s="454">
        <f t="shared" si="213"/>
        <v>1962</v>
      </c>
      <c r="AM156" s="454">
        <f t="shared" si="213"/>
        <v>1962</v>
      </c>
      <c r="AN156" s="454">
        <f t="shared" si="213"/>
        <v>2862</v>
      </c>
      <c r="AO156" s="454">
        <f t="shared" si="213"/>
        <v>1962</v>
      </c>
      <c r="AP156" s="454">
        <f t="shared" si="213"/>
        <v>1962</v>
      </c>
      <c r="AQ156" s="454">
        <f t="shared" si="213"/>
        <v>1962</v>
      </c>
      <c r="AR156" s="454">
        <f t="shared" si="213"/>
        <v>1962</v>
      </c>
      <c r="AS156" s="454">
        <f t="shared" si="213"/>
        <v>1962</v>
      </c>
      <c r="AT156" s="454">
        <f t="shared" si="213"/>
        <v>1962</v>
      </c>
      <c r="AU156" s="454">
        <f t="shared" si="213"/>
        <v>2862</v>
      </c>
      <c r="AV156" s="454">
        <f t="shared" si="213"/>
        <v>1962</v>
      </c>
      <c r="AW156" s="454">
        <f t="shared" si="213"/>
        <v>1962</v>
      </c>
      <c r="AX156" s="454">
        <f t="shared" si="213"/>
        <v>1962</v>
      </c>
      <c r="AY156" s="454">
        <f t="shared" si="213"/>
        <v>1962</v>
      </c>
      <c r="AZ156" s="454">
        <f t="shared" si="213"/>
        <v>2862</v>
      </c>
      <c r="BA156" s="454">
        <f t="shared" si="213"/>
        <v>2943</v>
      </c>
      <c r="BB156" s="454">
        <f t="shared" si="213"/>
        <v>2943</v>
      </c>
      <c r="BC156" s="454">
        <f t="shared" si="213"/>
        <v>2943</v>
      </c>
      <c r="BD156" s="454">
        <f t="shared" si="213"/>
        <v>2943</v>
      </c>
      <c r="BE156" s="454">
        <f t="shared" si="213"/>
        <v>2943</v>
      </c>
      <c r="BF156" s="454">
        <f t="shared" si="213"/>
        <v>2943</v>
      </c>
      <c r="BG156" s="454">
        <f t="shared" si="213"/>
        <v>4293</v>
      </c>
      <c r="BH156" s="454">
        <f t="shared" si="213"/>
        <v>2943</v>
      </c>
      <c r="BI156" s="454">
        <f t="shared" si="213"/>
        <v>2943</v>
      </c>
      <c r="BJ156" s="454">
        <f t="shared" si="213"/>
        <v>2943</v>
      </c>
      <c r="BK156" s="454">
        <f t="shared" si="213"/>
        <v>2943</v>
      </c>
      <c r="BL156" s="454">
        <f t="shared" si="213"/>
        <v>4293</v>
      </c>
      <c r="BM156" s="454">
        <f t="shared" si="213"/>
        <v>2943</v>
      </c>
      <c r="BN156" s="454">
        <f t="shared" si="213"/>
        <v>2943</v>
      </c>
      <c r="BO156" s="454">
        <f t="shared" si="213"/>
        <v>2943</v>
      </c>
      <c r="BP156" s="454">
        <f t="shared" si="213"/>
        <v>2943</v>
      </c>
      <c r="BQ156" s="454">
        <f t="shared" ref="BQ156:DT156" si="214">SUM(BQ153:BQ155)</f>
        <v>2943</v>
      </c>
      <c r="BR156" s="454">
        <f t="shared" si="214"/>
        <v>2943</v>
      </c>
      <c r="BS156" s="454">
        <f t="shared" si="214"/>
        <v>4293</v>
      </c>
      <c r="BT156" s="454">
        <f t="shared" si="214"/>
        <v>2943</v>
      </c>
      <c r="BU156" s="454">
        <f t="shared" si="214"/>
        <v>2943</v>
      </c>
      <c r="BV156" s="454">
        <f t="shared" si="214"/>
        <v>2943</v>
      </c>
      <c r="BW156" s="454">
        <f t="shared" si="214"/>
        <v>2943</v>
      </c>
      <c r="BX156" s="454">
        <f t="shared" si="214"/>
        <v>4293</v>
      </c>
      <c r="BY156" s="454">
        <f t="shared" si="214"/>
        <v>2943</v>
      </c>
      <c r="BZ156" s="454">
        <f t="shared" si="214"/>
        <v>2943</v>
      </c>
      <c r="CA156" s="454">
        <f t="shared" si="214"/>
        <v>2943</v>
      </c>
      <c r="CB156" s="454">
        <f t="shared" si="214"/>
        <v>2943</v>
      </c>
      <c r="CC156" s="454">
        <f t="shared" si="214"/>
        <v>2943</v>
      </c>
      <c r="CD156" s="454">
        <f t="shared" si="214"/>
        <v>2943</v>
      </c>
      <c r="CE156" s="454">
        <f t="shared" si="214"/>
        <v>4293</v>
      </c>
      <c r="CF156" s="454">
        <f t="shared" si="214"/>
        <v>2943</v>
      </c>
      <c r="CG156" s="454">
        <f t="shared" si="214"/>
        <v>2943</v>
      </c>
      <c r="CH156" s="454">
        <f t="shared" si="214"/>
        <v>2943</v>
      </c>
      <c r="CI156" s="454">
        <f t="shared" si="214"/>
        <v>2943</v>
      </c>
      <c r="CJ156" s="454">
        <f t="shared" si="214"/>
        <v>4293</v>
      </c>
      <c r="CK156" s="454">
        <f t="shared" si="214"/>
        <v>2943</v>
      </c>
      <c r="CL156" s="454">
        <f t="shared" si="214"/>
        <v>2943</v>
      </c>
      <c r="CM156" s="454">
        <f t="shared" si="214"/>
        <v>2943</v>
      </c>
      <c r="CN156" s="454">
        <f t="shared" si="214"/>
        <v>2943</v>
      </c>
      <c r="CO156" s="454">
        <f t="shared" si="214"/>
        <v>2943</v>
      </c>
      <c r="CP156" s="454">
        <f t="shared" si="214"/>
        <v>2943</v>
      </c>
      <c r="CQ156" s="454">
        <f t="shared" si="214"/>
        <v>4293</v>
      </c>
      <c r="CR156" s="454">
        <f t="shared" si="214"/>
        <v>2943</v>
      </c>
      <c r="CS156" s="454">
        <f t="shared" si="214"/>
        <v>2943</v>
      </c>
      <c r="CT156" s="454">
        <f t="shared" si="214"/>
        <v>2943</v>
      </c>
      <c r="CU156" s="454">
        <f t="shared" si="214"/>
        <v>2943</v>
      </c>
      <c r="CV156" s="454">
        <f t="shared" si="214"/>
        <v>4293</v>
      </c>
      <c r="CW156" s="454">
        <f t="shared" si="214"/>
        <v>2943</v>
      </c>
      <c r="CX156" s="454">
        <f t="shared" si="214"/>
        <v>2943</v>
      </c>
      <c r="CY156" s="454">
        <f t="shared" si="214"/>
        <v>2943</v>
      </c>
      <c r="CZ156" s="454">
        <f t="shared" si="214"/>
        <v>2943</v>
      </c>
      <c r="DA156" s="454">
        <f t="shared" si="214"/>
        <v>2943</v>
      </c>
      <c r="DB156" s="454">
        <f t="shared" si="214"/>
        <v>2943</v>
      </c>
      <c r="DC156" s="454">
        <f t="shared" si="214"/>
        <v>4293</v>
      </c>
      <c r="DD156" s="454">
        <f t="shared" si="214"/>
        <v>2943</v>
      </c>
      <c r="DE156" s="454">
        <f t="shared" si="214"/>
        <v>2943</v>
      </c>
      <c r="DF156" s="454">
        <f t="shared" si="214"/>
        <v>2943</v>
      </c>
      <c r="DG156" s="454">
        <f t="shared" si="214"/>
        <v>2943</v>
      </c>
      <c r="DH156" s="454">
        <f t="shared" si="214"/>
        <v>4293</v>
      </c>
      <c r="DI156" s="454">
        <f t="shared" si="214"/>
        <v>2943</v>
      </c>
      <c r="DJ156" s="454">
        <f t="shared" si="214"/>
        <v>2943</v>
      </c>
      <c r="DK156" s="454">
        <f t="shared" si="214"/>
        <v>2943</v>
      </c>
      <c r="DL156" s="454">
        <f t="shared" si="214"/>
        <v>2943</v>
      </c>
      <c r="DM156" s="454">
        <f t="shared" si="214"/>
        <v>2943</v>
      </c>
      <c r="DN156" s="454">
        <f t="shared" si="214"/>
        <v>2943</v>
      </c>
      <c r="DO156" s="454">
        <f t="shared" si="214"/>
        <v>4293</v>
      </c>
      <c r="DP156" s="454">
        <f t="shared" si="214"/>
        <v>2943</v>
      </c>
      <c r="DQ156" s="454">
        <f t="shared" si="214"/>
        <v>2943</v>
      </c>
      <c r="DR156" s="454">
        <f t="shared" si="214"/>
        <v>2943</v>
      </c>
      <c r="DS156" s="454">
        <f t="shared" si="214"/>
        <v>2943</v>
      </c>
      <c r="DT156" s="454">
        <f t="shared" si="214"/>
        <v>4293</v>
      </c>
    </row>
    <row r="157" spans="1:124" x14ac:dyDescent="0.25">
      <c r="A157" s="230"/>
      <c r="B157" s="831" t="s">
        <v>266</v>
      </c>
      <c r="C157" s="825" t="s">
        <v>269</v>
      </c>
      <c r="D157" s="438" t="s">
        <v>254</v>
      </c>
      <c r="E157" s="184">
        <f>F90</f>
        <v>2500</v>
      </c>
      <c r="F157" s="184">
        <f t="shared" ref="F157:AB157" si="215">E157</f>
        <v>2500</v>
      </c>
      <c r="G157" s="184">
        <f t="shared" si="215"/>
        <v>2500</v>
      </c>
      <c r="H157" s="184">
        <f t="shared" si="215"/>
        <v>2500</v>
      </c>
      <c r="I157" s="184">
        <f t="shared" si="215"/>
        <v>2500</v>
      </c>
      <c r="J157" s="184">
        <f t="shared" si="215"/>
        <v>2500</v>
      </c>
      <c r="K157" s="184">
        <f t="shared" si="215"/>
        <v>2500</v>
      </c>
      <c r="L157" s="184">
        <f t="shared" si="215"/>
        <v>2500</v>
      </c>
      <c r="M157" s="184">
        <f t="shared" si="215"/>
        <v>2500</v>
      </c>
      <c r="N157" s="184">
        <f t="shared" si="215"/>
        <v>2500</v>
      </c>
      <c r="O157" s="184">
        <f t="shared" si="215"/>
        <v>2500</v>
      </c>
      <c r="P157" s="184">
        <f t="shared" si="215"/>
        <v>2500</v>
      </c>
      <c r="Q157" s="184">
        <f>U90</f>
        <v>2500</v>
      </c>
      <c r="R157" s="184">
        <f t="shared" si="215"/>
        <v>2500</v>
      </c>
      <c r="S157" s="184">
        <f t="shared" si="215"/>
        <v>2500</v>
      </c>
      <c r="T157" s="184">
        <f t="shared" si="215"/>
        <v>2500</v>
      </c>
      <c r="U157" s="184">
        <f t="shared" si="215"/>
        <v>2500</v>
      </c>
      <c r="V157" s="184">
        <f t="shared" si="215"/>
        <v>2500</v>
      </c>
      <c r="W157" s="184">
        <f t="shared" si="215"/>
        <v>2500</v>
      </c>
      <c r="X157" s="184">
        <f t="shared" si="215"/>
        <v>2500</v>
      </c>
      <c r="Y157" s="184">
        <f t="shared" si="215"/>
        <v>2500</v>
      </c>
      <c r="Z157" s="184">
        <f t="shared" si="215"/>
        <v>2500</v>
      </c>
      <c r="AA157" s="184">
        <f t="shared" si="215"/>
        <v>2500</v>
      </c>
      <c r="AB157" s="184">
        <f t="shared" si="215"/>
        <v>2500</v>
      </c>
      <c r="AC157" s="184">
        <f>AG90</f>
        <v>2500</v>
      </c>
      <c r="AD157" s="184">
        <f t="shared" ref="AD157:AN157" si="216">AC157</f>
        <v>2500</v>
      </c>
      <c r="AE157" s="184">
        <f t="shared" si="216"/>
        <v>2500</v>
      </c>
      <c r="AF157" s="184">
        <f t="shared" si="216"/>
        <v>2500</v>
      </c>
      <c r="AG157" s="184">
        <f t="shared" si="216"/>
        <v>2500</v>
      </c>
      <c r="AH157" s="184">
        <f t="shared" si="216"/>
        <v>2500</v>
      </c>
      <c r="AI157" s="184">
        <f t="shared" si="216"/>
        <v>2500</v>
      </c>
      <c r="AJ157" s="184">
        <f t="shared" si="216"/>
        <v>2500</v>
      </c>
      <c r="AK157" s="184">
        <f t="shared" si="216"/>
        <v>2500</v>
      </c>
      <c r="AL157" s="184">
        <f t="shared" si="216"/>
        <v>2500</v>
      </c>
      <c r="AM157" s="184">
        <f t="shared" si="216"/>
        <v>2500</v>
      </c>
      <c r="AN157" s="184">
        <f t="shared" si="216"/>
        <v>2500</v>
      </c>
      <c r="AO157" s="184">
        <f>AS90</f>
        <v>2500</v>
      </c>
      <c r="AP157" s="184">
        <f t="shared" ref="AP157:AZ157" si="217">AO157</f>
        <v>2500</v>
      </c>
      <c r="AQ157" s="184">
        <f t="shared" si="217"/>
        <v>2500</v>
      </c>
      <c r="AR157" s="184">
        <f t="shared" si="217"/>
        <v>2500</v>
      </c>
      <c r="AS157" s="184">
        <f t="shared" si="217"/>
        <v>2500</v>
      </c>
      <c r="AT157" s="184">
        <f t="shared" si="217"/>
        <v>2500</v>
      </c>
      <c r="AU157" s="184">
        <f t="shared" si="217"/>
        <v>2500</v>
      </c>
      <c r="AV157" s="184">
        <f t="shared" si="217"/>
        <v>2500</v>
      </c>
      <c r="AW157" s="184">
        <f t="shared" si="217"/>
        <v>2500</v>
      </c>
      <c r="AX157" s="184">
        <f t="shared" si="217"/>
        <v>2500</v>
      </c>
      <c r="AY157" s="184">
        <f t="shared" si="217"/>
        <v>2500</v>
      </c>
      <c r="AZ157" s="184">
        <f t="shared" si="217"/>
        <v>2500</v>
      </c>
      <c r="BA157" s="184">
        <f>BE90</f>
        <v>2500</v>
      </c>
      <c r="BB157" s="184">
        <f t="shared" ref="BB157:BL157" si="218">BA157</f>
        <v>2500</v>
      </c>
      <c r="BC157" s="184">
        <f t="shared" si="218"/>
        <v>2500</v>
      </c>
      <c r="BD157" s="184">
        <f t="shared" si="218"/>
        <v>2500</v>
      </c>
      <c r="BE157" s="184">
        <f t="shared" si="218"/>
        <v>2500</v>
      </c>
      <c r="BF157" s="184">
        <f t="shared" si="218"/>
        <v>2500</v>
      </c>
      <c r="BG157" s="184">
        <f t="shared" si="218"/>
        <v>2500</v>
      </c>
      <c r="BH157" s="184">
        <f t="shared" si="218"/>
        <v>2500</v>
      </c>
      <c r="BI157" s="184">
        <f t="shared" si="218"/>
        <v>2500</v>
      </c>
      <c r="BJ157" s="184">
        <f t="shared" si="218"/>
        <v>2500</v>
      </c>
      <c r="BK157" s="184">
        <f t="shared" si="218"/>
        <v>2500</v>
      </c>
      <c r="BL157" s="184">
        <f t="shared" si="218"/>
        <v>2500</v>
      </c>
      <c r="BM157" s="184">
        <f>BQ90</f>
        <v>2500</v>
      </c>
      <c r="BN157" s="184">
        <f t="shared" ref="BN157:BX157" si="219">BM157</f>
        <v>2500</v>
      </c>
      <c r="BO157" s="184">
        <f t="shared" si="219"/>
        <v>2500</v>
      </c>
      <c r="BP157" s="184">
        <f t="shared" si="219"/>
        <v>2500</v>
      </c>
      <c r="BQ157" s="184">
        <f t="shared" si="219"/>
        <v>2500</v>
      </c>
      <c r="BR157" s="184">
        <f t="shared" si="219"/>
        <v>2500</v>
      </c>
      <c r="BS157" s="184">
        <f t="shared" si="219"/>
        <v>2500</v>
      </c>
      <c r="BT157" s="184">
        <f t="shared" si="219"/>
        <v>2500</v>
      </c>
      <c r="BU157" s="184">
        <f t="shared" si="219"/>
        <v>2500</v>
      </c>
      <c r="BV157" s="184">
        <f t="shared" si="219"/>
        <v>2500</v>
      </c>
      <c r="BW157" s="184">
        <f t="shared" si="219"/>
        <v>2500</v>
      </c>
      <c r="BX157" s="184">
        <f t="shared" si="219"/>
        <v>2500</v>
      </c>
      <c r="BY157" s="184">
        <f>CC90</f>
        <v>5000</v>
      </c>
      <c r="BZ157" s="184">
        <f t="shared" ref="BZ157:CJ157" si="220">BY157</f>
        <v>5000</v>
      </c>
      <c r="CA157" s="184">
        <f t="shared" si="220"/>
        <v>5000</v>
      </c>
      <c r="CB157" s="184">
        <f t="shared" si="220"/>
        <v>5000</v>
      </c>
      <c r="CC157" s="184">
        <f t="shared" si="220"/>
        <v>5000</v>
      </c>
      <c r="CD157" s="184">
        <f t="shared" si="220"/>
        <v>5000</v>
      </c>
      <c r="CE157" s="184">
        <f t="shared" si="220"/>
        <v>5000</v>
      </c>
      <c r="CF157" s="184">
        <f t="shared" si="220"/>
        <v>5000</v>
      </c>
      <c r="CG157" s="184">
        <f t="shared" si="220"/>
        <v>5000</v>
      </c>
      <c r="CH157" s="184">
        <f t="shared" si="220"/>
        <v>5000</v>
      </c>
      <c r="CI157" s="184">
        <f t="shared" si="220"/>
        <v>5000</v>
      </c>
      <c r="CJ157" s="184">
        <f t="shared" si="220"/>
        <v>5000</v>
      </c>
      <c r="CK157" s="184">
        <f>CO90</f>
        <v>5000</v>
      </c>
      <c r="CL157" s="184">
        <f t="shared" ref="CL157:CV157" si="221">CK157</f>
        <v>5000</v>
      </c>
      <c r="CM157" s="184">
        <f t="shared" si="221"/>
        <v>5000</v>
      </c>
      <c r="CN157" s="184">
        <f t="shared" si="221"/>
        <v>5000</v>
      </c>
      <c r="CO157" s="184">
        <f t="shared" si="221"/>
        <v>5000</v>
      </c>
      <c r="CP157" s="184">
        <f t="shared" si="221"/>
        <v>5000</v>
      </c>
      <c r="CQ157" s="184">
        <f t="shared" si="221"/>
        <v>5000</v>
      </c>
      <c r="CR157" s="184">
        <f t="shared" si="221"/>
        <v>5000</v>
      </c>
      <c r="CS157" s="184">
        <f t="shared" si="221"/>
        <v>5000</v>
      </c>
      <c r="CT157" s="184">
        <f t="shared" si="221"/>
        <v>5000</v>
      </c>
      <c r="CU157" s="184">
        <f t="shared" si="221"/>
        <v>5000</v>
      </c>
      <c r="CV157" s="184">
        <f t="shared" si="221"/>
        <v>5000</v>
      </c>
      <c r="CW157" s="184">
        <f>DA90</f>
        <v>5000</v>
      </c>
      <c r="CX157" s="184">
        <f t="shared" ref="CX157:DH157" si="222">CW157</f>
        <v>5000</v>
      </c>
      <c r="CY157" s="184">
        <f t="shared" si="222"/>
        <v>5000</v>
      </c>
      <c r="CZ157" s="184">
        <f t="shared" si="222"/>
        <v>5000</v>
      </c>
      <c r="DA157" s="184">
        <f t="shared" si="222"/>
        <v>5000</v>
      </c>
      <c r="DB157" s="184">
        <f t="shared" si="222"/>
        <v>5000</v>
      </c>
      <c r="DC157" s="184">
        <f t="shared" si="222"/>
        <v>5000</v>
      </c>
      <c r="DD157" s="184">
        <f t="shared" si="222"/>
        <v>5000</v>
      </c>
      <c r="DE157" s="184">
        <f t="shared" si="222"/>
        <v>5000</v>
      </c>
      <c r="DF157" s="184">
        <f t="shared" si="222"/>
        <v>5000</v>
      </c>
      <c r="DG157" s="184">
        <f t="shared" si="222"/>
        <v>5000</v>
      </c>
      <c r="DH157" s="184">
        <f t="shared" si="222"/>
        <v>5000</v>
      </c>
      <c r="DI157" s="184">
        <f>DM90</f>
        <v>5000</v>
      </c>
      <c r="DJ157" s="184">
        <f t="shared" ref="DJ157:DT157" si="223">DI157</f>
        <v>5000</v>
      </c>
      <c r="DK157" s="184">
        <f t="shared" si="223"/>
        <v>5000</v>
      </c>
      <c r="DL157" s="184">
        <f t="shared" si="223"/>
        <v>5000</v>
      </c>
      <c r="DM157" s="184">
        <f t="shared" si="223"/>
        <v>5000</v>
      </c>
      <c r="DN157" s="184">
        <f t="shared" si="223"/>
        <v>5000</v>
      </c>
      <c r="DO157" s="184">
        <f t="shared" si="223"/>
        <v>5000</v>
      </c>
      <c r="DP157" s="184">
        <f t="shared" si="223"/>
        <v>5000</v>
      </c>
      <c r="DQ157" s="184">
        <f t="shared" si="223"/>
        <v>5000</v>
      </c>
      <c r="DR157" s="184">
        <f t="shared" si="223"/>
        <v>5000</v>
      </c>
      <c r="DS157" s="184">
        <f t="shared" si="223"/>
        <v>5000</v>
      </c>
      <c r="DT157" s="184">
        <f t="shared" si="223"/>
        <v>5000</v>
      </c>
    </row>
    <row r="158" spans="1:124" x14ac:dyDescent="0.25">
      <c r="A158" s="230"/>
      <c r="B158" s="832"/>
      <c r="C158" s="826"/>
      <c r="D158" s="438" t="s">
        <v>270</v>
      </c>
      <c r="E158" s="184"/>
      <c r="F158" s="184"/>
      <c r="G158" s="184"/>
      <c r="H158" s="184"/>
      <c r="I158" s="184"/>
      <c r="J158" s="184"/>
      <c r="K158" s="184">
        <f>J157/2</f>
        <v>1250</v>
      </c>
      <c r="L158" s="184"/>
      <c r="M158" s="184"/>
      <c r="N158" s="184"/>
      <c r="O158" s="184"/>
      <c r="P158" s="184">
        <f>O157/2</f>
        <v>1250</v>
      </c>
      <c r="Q158" s="184"/>
      <c r="R158" s="184"/>
      <c r="S158" s="184"/>
      <c r="T158" s="184"/>
      <c r="U158" s="184"/>
      <c r="V158" s="184"/>
      <c r="W158" s="184">
        <f>V157/2</f>
        <v>1250</v>
      </c>
      <c r="X158" s="184"/>
      <c r="Y158" s="184"/>
      <c r="Z158" s="184"/>
      <c r="AA158" s="184"/>
      <c r="AB158" s="184">
        <f>AA157/2</f>
        <v>1250</v>
      </c>
      <c r="AC158" s="184"/>
      <c r="AD158" s="184"/>
      <c r="AE158" s="184"/>
      <c r="AF158" s="184"/>
      <c r="AG158" s="184"/>
      <c r="AH158" s="184"/>
      <c r="AI158" s="184">
        <f>AH157/2</f>
        <v>1250</v>
      </c>
      <c r="AJ158" s="184"/>
      <c r="AK158" s="184"/>
      <c r="AL158" s="184"/>
      <c r="AM158" s="184"/>
      <c r="AN158" s="184">
        <f>AM157/2</f>
        <v>1250</v>
      </c>
      <c r="AO158" s="184"/>
      <c r="AP158" s="184"/>
      <c r="AQ158" s="184"/>
      <c r="AR158" s="184"/>
      <c r="AS158" s="184"/>
      <c r="AT158" s="184"/>
      <c r="AU158" s="184">
        <f>AT157/2</f>
        <v>1250</v>
      </c>
      <c r="AV158" s="184"/>
      <c r="AW158" s="184"/>
      <c r="AX158" s="184"/>
      <c r="AY158" s="184"/>
      <c r="AZ158" s="184">
        <f>AY157/2</f>
        <v>1250</v>
      </c>
      <c r="BA158" s="184"/>
      <c r="BB158" s="184"/>
      <c r="BC158" s="184"/>
      <c r="BD158" s="184"/>
      <c r="BE158" s="184"/>
      <c r="BF158" s="184"/>
      <c r="BG158" s="184">
        <f>BF157/2</f>
        <v>1250</v>
      </c>
      <c r="BH158" s="184"/>
      <c r="BI158" s="184"/>
      <c r="BJ158" s="184"/>
      <c r="BK158" s="184"/>
      <c r="BL158" s="184">
        <f>BK157/2</f>
        <v>1250</v>
      </c>
      <c r="BM158" s="184"/>
      <c r="BN158" s="184"/>
      <c r="BO158" s="184"/>
      <c r="BP158" s="184"/>
      <c r="BQ158" s="184"/>
      <c r="BR158" s="184"/>
      <c r="BS158" s="184">
        <f>BR157/2</f>
        <v>1250</v>
      </c>
      <c r="BT158" s="184"/>
      <c r="BU158" s="184"/>
      <c r="BV158" s="184"/>
      <c r="BW158" s="184"/>
      <c r="BX158" s="184">
        <f>BW157/2</f>
        <v>1250</v>
      </c>
      <c r="BY158" s="184"/>
      <c r="BZ158" s="184"/>
      <c r="CA158" s="184"/>
      <c r="CB158" s="184"/>
      <c r="CC158" s="184"/>
      <c r="CD158" s="184"/>
      <c r="CE158" s="184">
        <f>CD157/2</f>
        <v>2500</v>
      </c>
      <c r="CF158" s="184"/>
      <c r="CG158" s="184"/>
      <c r="CH158" s="184"/>
      <c r="CI158" s="184"/>
      <c r="CJ158" s="184">
        <f>CI157/2</f>
        <v>2500</v>
      </c>
      <c r="CK158" s="184"/>
      <c r="CL158" s="184"/>
      <c r="CM158" s="184"/>
      <c r="CN158" s="184"/>
      <c r="CO158" s="184"/>
      <c r="CP158" s="184"/>
      <c r="CQ158" s="184">
        <f>CP157/2</f>
        <v>2500</v>
      </c>
      <c r="CR158" s="184"/>
      <c r="CS158" s="184"/>
      <c r="CT158" s="184"/>
      <c r="CU158" s="184"/>
      <c r="CV158" s="184">
        <f>CU157/2</f>
        <v>2500</v>
      </c>
      <c r="CW158" s="184"/>
      <c r="CX158" s="184"/>
      <c r="CY158" s="184"/>
      <c r="CZ158" s="184"/>
      <c r="DA158" s="184"/>
      <c r="DB158" s="184"/>
      <c r="DC158" s="184">
        <f>DB157/2</f>
        <v>2500</v>
      </c>
      <c r="DD158" s="184"/>
      <c r="DE158" s="184"/>
      <c r="DF158" s="184"/>
      <c r="DG158" s="184"/>
      <c r="DH158" s="184">
        <f>DG157/2</f>
        <v>2500</v>
      </c>
      <c r="DI158" s="184"/>
      <c r="DJ158" s="184"/>
      <c r="DK158" s="184"/>
      <c r="DL158" s="184"/>
      <c r="DM158" s="184"/>
      <c r="DN158" s="184"/>
      <c r="DO158" s="184">
        <f>DN157/2</f>
        <v>2500</v>
      </c>
      <c r="DP158" s="184"/>
      <c r="DQ158" s="184"/>
      <c r="DR158" s="184"/>
      <c r="DS158" s="184"/>
      <c r="DT158" s="184">
        <f>DS157/2</f>
        <v>2500</v>
      </c>
    </row>
    <row r="159" spans="1:124" x14ac:dyDescent="0.25">
      <c r="A159" s="435"/>
      <c r="B159" s="832"/>
      <c r="C159" s="826"/>
      <c r="D159" s="438" t="s">
        <v>271</v>
      </c>
      <c r="E159" s="184"/>
      <c r="F159" s="184"/>
      <c r="G159" s="184"/>
      <c r="H159" s="184"/>
      <c r="I159" s="184">
        <f>(((H157/2)+K158/6)/12)*6</f>
        <v>729.16666666666663</v>
      </c>
      <c r="J159" s="184"/>
      <c r="K159" s="184"/>
      <c r="L159" s="184"/>
      <c r="M159" s="184"/>
      <c r="N159" s="184"/>
      <c r="O159" s="184">
        <f>(((N157/2)+P158/6)/12)*6</f>
        <v>729.16666666666663</v>
      </c>
      <c r="P159" s="184"/>
      <c r="Q159" s="184"/>
      <c r="R159" s="184"/>
      <c r="S159" s="184"/>
      <c r="T159" s="184"/>
      <c r="U159" s="184">
        <f>(((T157/2)+W158/6)/12)*6</f>
        <v>729.16666666666663</v>
      </c>
      <c r="V159" s="184"/>
      <c r="W159" s="184"/>
      <c r="X159" s="184"/>
      <c r="Y159" s="184"/>
      <c r="Z159" s="184"/>
      <c r="AA159" s="184">
        <f>(((Z157/2)+AB158/6)/12)*6</f>
        <v>729.16666666666663</v>
      </c>
      <c r="AB159" s="184"/>
      <c r="AC159" s="184"/>
      <c r="AD159" s="184"/>
      <c r="AE159" s="184"/>
      <c r="AF159" s="184"/>
      <c r="AG159" s="184">
        <f>(((AF157/2)+AI158/6)/12)*6</f>
        <v>729.16666666666663</v>
      </c>
      <c r="AH159" s="184"/>
      <c r="AI159" s="184"/>
      <c r="AJ159" s="184"/>
      <c r="AK159" s="184"/>
      <c r="AL159" s="184"/>
      <c r="AM159" s="184">
        <f>(((AL157/2)+AN158/6)/12)*6</f>
        <v>729.16666666666663</v>
      </c>
      <c r="AN159" s="184"/>
      <c r="AO159" s="184"/>
      <c r="AP159" s="184"/>
      <c r="AQ159" s="184"/>
      <c r="AR159" s="184"/>
      <c r="AS159" s="184">
        <f>(((AR157/2)+AU158/6)/12)*6</f>
        <v>729.16666666666663</v>
      </c>
      <c r="AT159" s="184"/>
      <c r="AU159" s="184"/>
      <c r="AV159" s="184"/>
      <c r="AW159" s="184"/>
      <c r="AX159" s="184"/>
      <c r="AY159" s="184">
        <f>(((AX157/2)+AZ158/6)/12)*6</f>
        <v>729.16666666666663</v>
      </c>
      <c r="AZ159" s="184"/>
      <c r="BA159" s="184"/>
      <c r="BB159" s="184"/>
      <c r="BC159" s="184"/>
      <c r="BD159" s="184"/>
      <c r="BE159" s="184">
        <f>(((BD157/2)+BG158/6)/12)*6</f>
        <v>729.16666666666663</v>
      </c>
      <c r="BF159" s="184"/>
      <c r="BG159" s="184"/>
      <c r="BH159" s="184"/>
      <c r="BI159" s="184"/>
      <c r="BJ159" s="184"/>
      <c r="BK159" s="184">
        <f>(((BJ157/2)+BL158/6)/12)*6</f>
        <v>729.16666666666663</v>
      </c>
      <c r="BL159" s="184"/>
      <c r="BM159" s="184"/>
      <c r="BN159" s="184"/>
      <c r="BO159" s="184"/>
      <c r="BP159" s="184"/>
      <c r="BQ159" s="184">
        <f>(((BP157/2)+BS158/6)/12)*6</f>
        <v>729.16666666666663</v>
      </c>
      <c r="BR159" s="184"/>
      <c r="BS159" s="184"/>
      <c r="BT159" s="184"/>
      <c r="BU159" s="184"/>
      <c r="BV159" s="184"/>
      <c r="BW159" s="184">
        <f>(((BV157/2)+BX158/6)/12)*6</f>
        <v>729.16666666666663</v>
      </c>
      <c r="BX159" s="184"/>
      <c r="BY159" s="184"/>
      <c r="BZ159" s="184"/>
      <c r="CA159" s="184"/>
      <c r="CB159" s="184"/>
      <c r="CC159" s="184">
        <f>(((CB157/2)+CE158/6)/12)*6</f>
        <v>1458.3333333333333</v>
      </c>
      <c r="CD159" s="184"/>
      <c r="CE159" s="184"/>
      <c r="CF159" s="184"/>
      <c r="CG159" s="184"/>
      <c r="CH159" s="184"/>
      <c r="CI159" s="184">
        <f>(((CH157/2)+CJ158/6)/12)*6</f>
        <v>1458.3333333333333</v>
      </c>
      <c r="CJ159" s="184"/>
      <c r="CK159" s="184"/>
      <c r="CL159" s="184"/>
      <c r="CM159" s="184"/>
      <c r="CN159" s="184"/>
      <c r="CO159" s="184">
        <f>(((CN157/2)+CQ158/6)/12)*6</f>
        <v>1458.3333333333333</v>
      </c>
      <c r="CP159" s="184"/>
      <c r="CQ159" s="184"/>
      <c r="CR159" s="184"/>
      <c r="CS159" s="184"/>
      <c r="CT159" s="184"/>
      <c r="CU159" s="184">
        <f>(((CT157/2)+CV158/6)/12)*6</f>
        <v>1458.3333333333333</v>
      </c>
      <c r="CV159" s="184"/>
      <c r="CW159" s="184"/>
      <c r="CX159" s="184"/>
      <c r="CY159" s="184"/>
      <c r="CZ159" s="184"/>
      <c r="DA159" s="184">
        <f>(((CZ157/2)+DC158/6)/12)*6</f>
        <v>1458.3333333333333</v>
      </c>
      <c r="DB159" s="184"/>
      <c r="DC159" s="184"/>
      <c r="DD159" s="184"/>
      <c r="DE159" s="184"/>
      <c r="DF159" s="184"/>
      <c r="DG159" s="184">
        <f>(((DF157/2)+DH158/6)/12)*6</f>
        <v>1458.3333333333333</v>
      </c>
      <c r="DH159" s="184"/>
      <c r="DI159" s="184"/>
      <c r="DJ159" s="184"/>
      <c r="DK159" s="184"/>
      <c r="DL159" s="184"/>
      <c r="DM159" s="184">
        <f>(((DL157/2)+DO158/6)/12)*6</f>
        <v>1458.3333333333333</v>
      </c>
      <c r="DN159" s="184"/>
      <c r="DO159" s="184"/>
      <c r="DP159" s="184"/>
      <c r="DQ159" s="184"/>
      <c r="DR159" s="184"/>
      <c r="DS159" s="184">
        <f>(((DR157/2)+DT158/6)/12)*6</f>
        <v>1458.3333333333333</v>
      </c>
      <c r="DT159" s="184"/>
    </row>
    <row r="160" spans="1:124" x14ac:dyDescent="0.25">
      <c r="A160" s="435"/>
      <c r="B160" s="832"/>
      <c r="C160" s="826"/>
      <c r="D160" s="438" t="s">
        <v>592</v>
      </c>
      <c r="E160" s="184"/>
      <c r="F160" s="184"/>
      <c r="G160" s="184"/>
      <c r="H160" s="184"/>
      <c r="I160" s="184"/>
      <c r="J160" s="184"/>
      <c r="K160" s="184"/>
      <c r="L160" s="184"/>
      <c r="M160" s="184"/>
      <c r="N160" s="184"/>
      <c r="O160" s="184"/>
      <c r="P160" s="184"/>
      <c r="Q160" s="184">
        <f>(Q157/24)*12</f>
        <v>1250</v>
      </c>
      <c r="R160" s="184"/>
      <c r="S160" s="184"/>
      <c r="T160" s="184"/>
      <c r="U160" s="184"/>
      <c r="V160" s="184"/>
      <c r="W160" s="184"/>
      <c r="X160" s="184"/>
      <c r="Y160" s="184"/>
      <c r="Z160" s="184"/>
      <c r="AA160" s="184"/>
      <c r="AB160" s="184"/>
      <c r="AC160" s="184">
        <f>(AC157/24)*12</f>
        <v>1250</v>
      </c>
      <c r="AD160" s="184"/>
      <c r="AE160" s="184"/>
      <c r="AF160" s="184"/>
      <c r="AG160" s="184"/>
      <c r="AH160" s="184"/>
      <c r="AI160" s="184"/>
      <c r="AJ160" s="184"/>
      <c r="AK160" s="184"/>
      <c r="AL160" s="184"/>
      <c r="AM160" s="184"/>
      <c r="AN160" s="184"/>
      <c r="AO160" s="184">
        <f>(AO157/24)*12</f>
        <v>1250</v>
      </c>
      <c r="AP160" s="184"/>
      <c r="AQ160" s="184"/>
      <c r="AR160" s="184"/>
      <c r="AS160" s="184"/>
      <c r="AT160" s="184"/>
      <c r="AU160" s="184"/>
      <c r="AV160" s="184"/>
      <c r="AW160" s="184"/>
      <c r="AX160" s="184"/>
      <c r="AY160" s="184"/>
      <c r="AZ160" s="184"/>
      <c r="BA160" s="184">
        <f>(BA157/24)*12</f>
        <v>1250</v>
      </c>
      <c r="BB160" s="184"/>
      <c r="BC160" s="184"/>
      <c r="BD160" s="184"/>
      <c r="BE160" s="184"/>
      <c r="BF160" s="184"/>
      <c r="BG160" s="184"/>
      <c r="BH160" s="184"/>
      <c r="BI160" s="184"/>
      <c r="BJ160" s="184"/>
      <c r="BK160" s="184"/>
      <c r="BL160" s="184"/>
      <c r="BM160" s="184">
        <f>(BM157/24)*12</f>
        <v>1250</v>
      </c>
      <c r="BN160" s="184"/>
      <c r="BO160" s="184"/>
      <c r="BP160" s="184"/>
      <c r="BQ160" s="184"/>
      <c r="BR160" s="184"/>
      <c r="BS160" s="184"/>
      <c r="BT160" s="184"/>
      <c r="BU160" s="184"/>
      <c r="BV160" s="184"/>
      <c r="BW160" s="184"/>
      <c r="BX160" s="184"/>
      <c r="BY160" s="184">
        <f>(BY157/24)*12</f>
        <v>2500</v>
      </c>
      <c r="BZ160" s="184"/>
      <c r="CA160" s="184"/>
      <c r="CB160" s="184"/>
      <c r="CC160" s="184"/>
      <c r="CD160" s="184"/>
      <c r="CE160" s="184"/>
      <c r="CF160" s="184"/>
      <c r="CG160" s="184"/>
      <c r="CH160" s="184"/>
      <c r="CI160" s="184"/>
      <c r="CJ160" s="184"/>
      <c r="CK160" s="184">
        <f>(CK157/24)*12</f>
        <v>2500</v>
      </c>
      <c r="CL160" s="184"/>
      <c r="CM160" s="184"/>
      <c r="CN160" s="184"/>
      <c r="CO160" s="184"/>
      <c r="CP160" s="184"/>
      <c r="CQ160" s="184"/>
      <c r="CR160" s="184"/>
      <c r="CS160" s="184"/>
      <c r="CT160" s="184"/>
      <c r="CU160" s="184"/>
      <c r="CV160" s="184"/>
      <c r="CW160" s="184">
        <f>(CW157/24)*12</f>
        <v>2500</v>
      </c>
      <c r="CX160" s="184"/>
      <c r="CY160" s="184"/>
      <c r="CZ160" s="184"/>
      <c r="DA160" s="184"/>
      <c r="DB160" s="184"/>
      <c r="DC160" s="184"/>
      <c r="DD160" s="184"/>
      <c r="DE160" s="184"/>
      <c r="DF160" s="184"/>
      <c r="DG160" s="184"/>
      <c r="DH160" s="184"/>
      <c r="DI160" s="184">
        <f>(DI157/24)*12</f>
        <v>2500</v>
      </c>
      <c r="DJ160" s="184"/>
      <c r="DK160" s="184"/>
      <c r="DL160" s="184"/>
      <c r="DM160" s="184"/>
      <c r="DN160" s="184"/>
      <c r="DO160" s="184"/>
      <c r="DP160" s="184"/>
      <c r="DQ160" s="184"/>
      <c r="DR160" s="184"/>
      <c r="DS160" s="184"/>
      <c r="DT160" s="184"/>
    </row>
    <row r="161" spans="1:124" x14ac:dyDescent="0.25">
      <c r="A161" s="435"/>
      <c r="B161" s="832"/>
      <c r="C161" s="826"/>
      <c r="D161" s="438" t="s">
        <v>272</v>
      </c>
      <c r="E161" s="184">
        <f t="shared" ref="E161:BP161" si="224">E157*9%</f>
        <v>225</v>
      </c>
      <c r="F161" s="184">
        <f t="shared" si="224"/>
        <v>225</v>
      </c>
      <c r="G161" s="184">
        <f t="shared" si="224"/>
        <v>225</v>
      </c>
      <c r="H161" s="184">
        <f t="shared" si="224"/>
        <v>225</v>
      </c>
      <c r="I161" s="184">
        <f t="shared" si="224"/>
        <v>225</v>
      </c>
      <c r="J161" s="184">
        <f t="shared" si="224"/>
        <v>225</v>
      </c>
      <c r="K161" s="184">
        <f t="shared" si="224"/>
        <v>225</v>
      </c>
      <c r="L161" s="184">
        <f t="shared" si="224"/>
        <v>225</v>
      </c>
      <c r="M161" s="184">
        <f t="shared" si="224"/>
        <v>225</v>
      </c>
      <c r="N161" s="184">
        <f t="shared" si="224"/>
        <v>225</v>
      </c>
      <c r="O161" s="184">
        <f t="shared" si="224"/>
        <v>225</v>
      </c>
      <c r="P161" s="184">
        <f t="shared" si="224"/>
        <v>225</v>
      </c>
      <c r="Q161" s="184">
        <f t="shared" si="224"/>
        <v>225</v>
      </c>
      <c r="R161" s="184">
        <f t="shared" si="224"/>
        <v>225</v>
      </c>
      <c r="S161" s="184">
        <f t="shared" si="224"/>
        <v>225</v>
      </c>
      <c r="T161" s="184">
        <f t="shared" si="224"/>
        <v>225</v>
      </c>
      <c r="U161" s="184">
        <f t="shared" si="224"/>
        <v>225</v>
      </c>
      <c r="V161" s="184">
        <f t="shared" si="224"/>
        <v>225</v>
      </c>
      <c r="W161" s="184">
        <f t="shared" si="224"/>
        <v>225</v>
      </c>
      <c r="X161" s="184">
        <f t="shared" si="224"/>
        <v>225</v>
      </c>
      <c r="Y161" s="184">
        <f t="shared" si="224"/>
        <v>225</v>
      </c>
      <c r="Z161" s="184">
        <f t="shared" si="224"/>
        <v>225</v>
      </c>
      <c r="AA161" s="184">
        <f t="shared" si="224"/>
        <v>225</v>
      </c>
      <c r="AB161" s="184">
        <f t="shared" si="224"/>
        <v>225</v>
      </c>
      <c r="AC161" s="184">
        <f t="shared" si="224"/>
        <v>225</v>
      </c>
      <c r="AD161" s="184">
        <f t="shared" si="224"/>
        <v>225</v>
      </c>
      <c r="AE161" s="184">
        <f t="shared" si="224"/>
        <v>225</v>
      </c>
      <c r="AF161" s="184">
        <f t="shared" si="224"/>
        <v>225</v>
      </c>
      <c r="AG161" s="184">
        <f t="shared" si="224"/>
        <v>225</v>
      </c>
      <c r="AH161" s="184">
        <f t="shared" si="224"/>
        <v>225</v>
      </c>
      <c r="AI161" s="184">
        <f t="shared" si="224"/>
        <v>225</v>
      </c>
      <c r="AJ161" s="184">
        <f t="shared" si="224"/>
        <v>225</v>
      </c>
      <c r="AK161" s="184">
        <f t="shared" si="224"/>
        <v>225</v>
      </c>
      <c r="AL161" s="184">
        <f t="shared" si="224"/>
        <v>225</v>
      </c>
      <c r="AM161" s="184">
        <f t="shared" si="224"/>
        <v>225</v>
      </c>
      <c r="AN161" s="184">
        <f t="shared" si="224"/>
        <v>225</v>
      </c>
      <c r="AO161" s="184">
        <f t="shared" si="224"/>
        <v>225</v>
      </c>
      <c r="AP161" s="184">
        <f t="shared" si="224"/>
        <v>225</v>
      </c>
      <c r="AQ161" s="184">
        <f t="shared" si="224"/>
        <v>225</v>
      </c>
      <c r="AR161" s="184">
        <f t="shared" si="224"/>
        <v>225</v>
      </c>
      <c r="AS161" s="184">
        <f t="shared" si="224"/>
        <v>225</v>
      </c>
      <c r="AT161" s="184">
        <f t="shared" si="224"/>
        <v>225</v>
      </c>
      <c r="AU161" s="184">
        <f t="shared" si="224"/>
        <v>225</v>
      </c>
      <c r="AV161" s="184">
        <f t="shared" si="224"/>
        <v>225</v>
      </c>
      <c r="AW161" s="184">
        <f t="shared" si="224"/>
        <v>225</v>
      </c>
      <c r="AX161" s="184">
        <f t="shared" si="224"/>
        <v>225</v>
      </c>
      <c r="AY161" s="184">
        <f t="shared" si="224"/>
        <v>225</v>
      </c>
      <c r="AZ161" s="184">
        <f t="shared" si="224"/>
        <v>225</v>
      </c>
      <c r="BA161" s="184">
        <f t="shared" si="224"/>
        <v>225</v>
      </c>
      <c r="BB161" s="184">
        <f t="shared" si="224"/>
        <v>225</v>
      </c>
      <c r="BC161" s="184">
        <f t="shared" si="224"/>
        <v>225</v>
      </c>
      <c r="BD161" s="184">
        <f t="shared" si="224"/>
        <v>225</v>
      </c>
      <c r="BE161" s="184">
        <f t="shared" si="224"/>
        <v>225</v>
      </c>
      <c r="BF161" s="184">
        <f t="shared" si="224"/>
        <v>225</v>
      </c>
      <c r="BG161" s="184">
        <f t="shared" si="224"/>
        <v>225</v>
      </c>
      <c r="BH161" s="184">
        <f t="shared" si="224"/>
        <v>225</v>
      </c>
      <c r="BI161" s="184">
        <f t="shared" si="224"/>
        <v>225</v>
      </c>
      <c r="BJ161" s="184">
        <f t="shared" si="224"/>
        <v>225</v>
      </c>
      <c r="BK161" s="184">
        <f t="shared" si="224"/>
        <v>225</v>
      </c>
      <c r="BL161" s="184">
        <f t="shared" si="224"/>
        <v>225</v>
      </c>
      <c r="BM161" s="184">
        <f t="shared" si="224"/>
        <v>225</v>
      </c>
      <c r="BN161" s="184">
        <f t="shared" si="224"/>
        <v>225</v>
      </c>
      <c r="BO161" s="184">
        <f t="shared" si="224"/>
        <v>225</v>
      </c>
      <c r="BP161" s="184">
        <f t="shared" si="224"/>
        <v>225</v>
      </c>
      <c r="BQ161" s="184">
        <f t="shared" ref="BQ161:DT161" si="225">BQ157*9%</f>
        <v>225</v>
      </c>
      <c r="BR161" s="184">
        <f t="shared" si="225"/>
        <v>225</v>
      </c>
      <c r="BS161" s="184">
        <f t="shared" si="225"/>
        <v>225</v>
      </c>
      <c r="BT161" s="184">
        <f t="shared" si="225"/>
        <v>225</v>
      </c>
      <c r="BU161" s="184">
        <f t="shared" si="225"/>
        <v>225</v>
      </c>
      <c r="BV161" s="184">
        <f t="shared" si="225"/>
        <v>225</v>
      </c>
      <c r="BW161" s="184">
        <f t="shared" si="225"/>
        <v>225</v>
      </c>
      <c r="BX161" s="184">
        <f t="shared" si="225"/>
        <v>225</v>
      </c>
      <c r="BY161" s="184">
        <f t="shared" si="225"/>
        <v>450</v>
      </c>
      <c r="BZ161" s="184">
        <f t="shared" si="225"/>
        <v>450</v>
      </c>
      <c r="CA161" s="184">
        <f t="shared" si="225"/>
        <v>450</v>
      </c>
      <c r="CB161" s="184">
        <f t="shared" si="225"/>
        <v>450</v>
      </c>
      <c r="CC161" s="184">
        <f t="shared" si="225"/>
        <v>450</v>
      </c>
      <c r="CD161" s="184">
        <f t="shared" si="225"/>
        <v>450</v>
      </c>
      <c r="CE161" s="184">
        <f t="shared" si="225"/>
        <v>450</v>
      </c>
      <c r="CF161" s="184">
        <f t="shared" si="225"/>
        <v>450</v>
      </c>
      <c r="CG161" s="184">
        <f t="shared" si="225"/>
        <v>450</v>
      </c>
      <c r="CH161" s="184">
        <f t="shared" si="225"/>
        <v>450</v>
      </c>
      <c r="CI161" s="184">
        <f t="shared" si="225"/>
        <v>450</v>
      </c>
      <c r="CJ161" s="184">
        <f t="shared" si="225"/>
        <v>450</v>
      </c>
      <c r="CK161" s="184">
        <f t="shared" si="225"/>
        <v>450</v>
      </c>
      <c r="CL161" s="184">
        <f t="shared" si="225"/>
        <v>450</v>
      </c>
      <c r="CM161" s="184">
        <f t="shared" si="225"/>
        <v>450</v>
      </c>
      <c r="CN161" s="184">
        <f t="shared" si="225"/>
        <v>450</v>
      </c>
      <c r="CO161" s="184">
        <f t="shared" si="225"/>
        <v>450</v>
      </c>
      <c r="CP161" s="184">
        <f t="shared" si="225"/>
        <v>450</v>
      </c>
      <c r="CQ161" s="184">
        <f t="shared" si="225"/>
        <v>450</v>
      </c>
      <c r="CR161" s="184">
        <f t="shared" si="225"/>
        <v>450</v>
      </c>
      <c r="CS161" s="184">
        <f t="shared" si="225"/>
        <v>450</v>
      </c>
      <c r="CT161" s="184">
        <f t="shared" si="225"/>
        <v>450</v>
      </c>
      <c r="CU161" s="184">
        <f t="shared" si="225"/>
        <v>450</v>
      </c>
      <c r="CV161" s="184">
        <f t="shared" si="225"/>
        <v>450</v>
      </c>
      <c r="CW161" s="184">
        <f t="shared" si="225"/>
        <v>450</v>
      </c>
      <c r="CX161" s="184">
        <f t="shared" si="225"/>
        <v>450</v>
      </c>
      <c r="CY161" s="184">
        <f t="shared" si="225"/>
        <v>450</v>
      </c>
      <c r="CZ161" s="184">
        <f t="shared" si="225"/>
        <v>450</v>
      </c>
      <c r="DA161" s="184">
        <f t="shared" si="225"/>
        <v>450</v>
      </c>
      <c r="DB161" s="184">
        <f t="shared" si="225"/>
        <v>450</v>
      </c>
      <c r="DC161" s="184">
        <f t="shared" si="225"/>
        <v>450</v>
      </c>
      <c r="DD161" s="184">
        <f t="shared" si="225"/>
        <v>450</v>
      </c>
      <c r="DE161" s="184">
        <f t="shared" si="225"/>
        <v>450</v>
      </c>
      <c r="DF161" s="184">
        <f t="shared" si="225"/>
        <v>450</v>
      </c>
      <c r="DG161" s="184">
        <f t="shared" si="225"/>
        <v>450</v>
      </c>
      <c r="DH161" s="184">
        <f t="shared" si="225"/>
        <v>450</v>
      </c>
      <c r="DI161" s="184">
        <f t="shared" si="225"/>
        <v>450</v>
      </c>
      <c r="DJ161" s="184">
        <f t="shared" si="225"/>
        <v>450</v>
      </c>
      <c r="DK161" s="184">
        <f t="shared" si="225"/>
        <v>450</v>
      </c>
      <c r="DL161" s="184">
        <f t="shared" si="225"/>
        <v>450</v>
      </c>
      <c r="DM161" s="184">
        <f t="shared" si="225"/>
        <v>450</v>
      </c>
      <c r="DN161" s="184">
        <f t="shared" si="225"/>
        <v>450</v>
      </c>
      <c r="DO161" s="184">
        <f t="shared" si="225"/>
        <v>450</v>
      </c>
      <c r="DP161" s="184">
        <f t="shared" si="225"/>
        <v>450</v>
      </c>
      <c r="DQ161" s="184">
        <f t="shared" si="225"/>
        <v>450</v>
      </c>
      <c r="DR161" s="184">
        <f t="shared" si="225"/>
        <v>450</v>
      </c>
      <c r="DS161" s="184">
        <f t="shared" si="225"/>
        <v>450</v>
      </c>
      <c r="DT161" s="184">
        <f t="shared" si="225"/>
        <v>450</v>
      </c>
    </row>
    <row r="162" spans="1:124" x14ac:dyDescent="0.25">
      <c r="A162" s="435"/>
      <c r="B162" s="832"/>
      <c r="C162" s="827"/>
      <c r="D162" s="481" t="s">
        <v>273</v>
      </c>
      <c r="E162" s="454">
        <f t="shared" ref="E162:AB162" si="226">SUM(E157:E161)</f>
        <v>2725</v>
      </c>
      <c r="F162" s="454">
        <f t="shared" si="226"/>
        <v>2725</v>
      </c>
      <c r="G162" s="454">
        <f t="shared" si="226"/>
        <v>2725</v>
      </c>
      <c r="H162" s="454">
        <f t="shared" si="226"/>
        <v>2725</v>
      </c>
      <c r="I162" s="454">
        <f t="shared" si="226"/>
        <v>3454.1666666666665</v>
      </c>
      <c r="J162" s="454">
        <f t="shared" si="226"/>
        <v>2725</v>
      </c>
      <c r="K162" s="454">
        <f t="shared" si="226"/>
        <v>3975</v>
      </c>
      <c r="L162" s="454">
        <f t="shared" si="226"/>
        <v>2725</v>
      </c>
      <c r="M162" s="454">
        <f t="shared" si="226"/>
        <v>2725</v>
      </c>
      <c r="N162" s="454">
        <f t="shared" si="226"/>
        <v>2725</v>
      </c>
      <c r="O162" s="454">
        <f t="shared" si="226"/>
        <v>3454.1666666666665</v>
      </c>
      <c r="P162" s="454">
        <f t="shared" si="226"/>
        <v>3975</v>
      </c>
      <c r="Q162" s="454">
        <f t="shared" si="226"/>
        <v>3975</v>
      </c>
      <c r="R162" s="454">
        <f t="shared" si="226"/>
        <v>2725</v>
      </c>
      <c r="S162" s="454">
        <f t="shared" si="226"/>
        <v>2725</v>
      </c>
      <c r="T162" s="454">
        <f t="shared" si="226"/>
        <v>2725</v>
      </c>
      <c r="U162" s="454">
        <f t="shared" si="226"/>
        <v>3454.1666666666665</v>
      </c>
      <c r="V162" s="454">
        <f t="shared" si="226"/>
        <v>2725</v>
      </c>
      <c r="W162" s="454">
        <f t="shared" si="226"/>
        <v>3975</v>
      </c>
      <c r="X162" s="454">
        <f t="shared" si="226"/>
        <v>2725</v>
      </c>
      <c r="Y162" s="454">
        <f t="shared" si="226"/>
        <v>2725</v>
      </c>
      <c r="Z162" s="454">
        <f t="shared" si="226"/>
        <v>2725</v>
      </c>
      <c r="AA162" s="454">
        <f t="shared" si="226"/>
        <v>3454.1666666666665</v>
      </c>
      <c r="AB162" s="454">
        <f t="shared" si="226"/>
        <v>3975</v>
      </c>
      <c r="AC162" s="454">
        <f t="shared" ref="AC162:CN162" si="227">SUM(AC157:AC161)</f>
        <v>3975</v>
      </c>
      <c r="AD162" s="454">
        <f t="shared" si="227"/>
        <v>2725</v>
      </c>
      <c r="AE162" s="454">
        <f t="shared" si="227"/>
        <v>2725</v>
      </c>
      <c r="AF162" s="454">
        <f t="shared" si="227"/>
        <v>2725</v>
      </c>
      <c r="AG162" s="454">
        <f t="shared" si="227"/>
        <v>3454.1666666666665</v>
      </c>
      <c r="AH162" s="454">
        <f t="shared" si="227"/>
        <v>2725</v>
      </c>
      <c r="AI162" s="454">
        <f t="shared" si="227"/>
        <v>3975</v>
      </c>
      <c r="AJ162" s="454">
        <f t="shared" si="227"/>
        <v>2725</v>
      </c>
      <c r="AK162" s="454">
        <f t="shared" si="227"/>
        <v>2725</v>
      </c>
      <c r="AL162" s="454">
        <f t="shared" si="227"/>
        <v>2725</v>
      </c>
      <c r="AM162" s="454">
        <f t="shared" si="227"/>
        <v>3454.1666666666665</v>
      </c>
      <c r="AN162" s="454">
        <f t="shared" si="227"/>
        <v>3975</v>
      </c>
      <c r="AO162" s="454">
        <f t="shared" si="227"/>
        <v>3975</v>
      </c>
      <c r="AP162" s="454">
        <f t="shared" si="227"/>
        <v>2725</v>
      </c>
      <c r="AQ162" s="454">
        <f t="shared" si="227"/>
        <v>2725</v>
      </c>
      <c r="AR162" s="454">
        <f t="shared" si="227"/>
        <v>2725</v>
      </c>
      <c r="AS162" s="454">
        <f t="shared" si="227"/>
        <v>3454.1666666666665</v>
      </c>
      <c r="AT162" s="454">
        <f t="shared" si="227"/>
        <v>2725</v>
      </c>
      <c r="AU162" s="454">
        <f t="shared" si="227"/>
        <v>3975</v>
      </c>
      <c r="AV162" s="454">
        <f t="shared" si="227"/>
        <v>2725</v>
      </c>
      <c r="AW162" s="454">
        <f t="shared" si="227"/>
        <v>2725</v>
      </c>
      <c r="AX162" s="454">
        <f t="shared" si="227"/>
        <v>2725</v>
      </c>
      <c r="AY162" s="454">
        <f t="shared" si="227"/>
        <v>3454.1666666666665</v>
      </c>
      <c r="AZ162" s="454">
        <f t="shared" si="227"/>
        <v>3975</v>
      </c>
      <c r="BA162" s="454">
        <f t="shared" si="227"/>
        <v>3975</v>
      </c>
      <c r="BB162" s="454">
        <f t="shared" si="227"/>
        <v>2725</v>
      </c>
      <c r="BC162" s="454">
        <f t="shared" si="227"/>
        <v>2725</v>
      </c>
      <c r="BD162" s="454">
        <f t="shared" si="227"/>
        <v>2725</v>
      </c>
      <c r="BE162" s="454">
        <f t="shared" si="227"/>
        <v>3454.1666666666665</v>
      </c>
      <c r="BF162" s="454">
        <f t="shared" si="227"/>
        <v>2725</v>
      </c>
      <c r="BG162" s="454">
        <f t="shared" si="227"/>
        <v>3975</v>
      </c>
      <c r="BH162" s="454">
        <f t="shared" si="227"/>
        <v>2725</v>
      </c>
      <c r="BI162" s="454">
        <f t="shared" si="227"/>
        <v>2725</v>
      </c>
      <c r="BJ162" s="454">
        <f t="shared" si="227"/>
        <v>2725</v>
      </c>
      <c r="BK162" s="454">
        <f t="shared" si="227"/>
        <v>3454.1666666666665</v>
      </c>
      <c r="BL162" s="454">
        <f t="shared" si="227"/>
        <v>3975</v>
      </c>
      <c r="BM162" s="454">
        <f t="shared" si="227"/>
        <v>3975</v>
      </c>
      <c r="BN162" s="454">
        <f t="shared" si="227"/>
        <v>2725</v>
      </c>
      <c r="BO162" s="454">
        <f t="shared" si="227"/>
        <v>2725</v>
      </c>
      <c r="BP162" s="454">
        <f t="shared" si="227"/>
        <v>2725</v>
      </c>
      <c r="BQ162" s="454">
        <f t="shared" si="227"/>
        <v>3454.1666666666665</v>
      </c>
      <c r="BR162" s="454">
        <f t="shared" si="227"/>
        <v>2725</v>
      </c>
      <c r="BS162" s="454">
        <f t="shared" si="227"/>
        <v>3975</v>
      </c>
      <c r="BT162" s="454">
        <f t="shared" si="227"/>
        <v>2725</v>
      </c>
      <c r="BU162" s="454">
        <f t="shared" si="227"/>
        <v>2725</v>
      </c>
      <c r="BV162" s="454">
        <f t="shared" si="227"/>
        <v>2725</v>
      </c>
      <c r="BW162" s="454">
        <f t="shared" si="227"/>
        <v>3454.1666666666665</v>
      </c>
      <c r="BX162" s="454">
        <f t="shared" si="227"/>
        <v>3975</v>
      </c>
      <c r="BY162" s="454">
        <f t="shared" si="227"/>
        <v>7950</v>
      </c>
      <c r="BZ162" s="454">
        <f t="shared" si="227"/>
        <v>5450</v>
      </c>
      <c r="CA162" s="454">
        <f t="shared" si="227"/>
        <v>5450</v>
      </c>
      <c r="CB162" s="454">
        <f t="shared" si="227"/>
        <v>5450</v>
      </c>
      <c r="CC162" s="454">
        <f t="shared" si="227"/>
        <v>6908.333333333333</v>
      </c>
      <c r="CD162" s="454">
        <f t="shared" si="227"/>
        <v>5450</v>
      </c>
      <c r="CE162" s="454">
        <f t="shared" si="227"/>
        <v>7950</v>
      </c>
      <c r="CF162" s="454">
        <f t="shared" si="227"/>
        <v>5450</v>
      </c>
      <c r="CG162" s="454">
        <f t="shared" si="227"/>
        <v>5450</v>
      </c>
      <c r="CH162" s="454">
        <f t="shared" si="227"/>
        <v>5450</v>
      </c>
      <c r="CI162" s="454">
        <f t="shared" si="227"/>
        <v>6908.333333333333</v>
      </c>
      <c r="CJ162" s="454">
        <f t="shared" si="227"/>
        <v>7950</v>
      </c>
      <c r="CK162" s="454">
        <f t="shared" si="227"/>
        <v>7950</v>
      </c>
      <c r="CL162" s="454">
        <f t="shared" si="227"/>
        <v>5450</v>
      </c>
      <c r="CM162" s="454">
        <f t="shared" si="227"/>
        <v>5450</v>
      </c>
      <c r="CN162" s="454">
        <f t="shared" si="227"/>
        <v>5450</v>
      </c>
      <c r="CO162" s="454">
        <f t="shared" ref="CO162:DT162" si="228">SUM(CO157:CO161)</f>
        <v>6908.333333333333</v>
      </c>
      <c r="CP162" s="454">
        <f t="shared" si="228"/>
        <v>5450</v>
      </c>
      <c r="CQ162" s="454">
        <f t="shared" si="228"/>
        <v>7950</v>
      </c>
      <c r="CR162" s="454">
        <f t="shared" si="228"/>
        <v>5450</v>
      </c>
      <c r="CS162" s="454">
        <f t="shared" si="228"/>
        <v>5450</v>
      </c>
      <c r="CT162" s="454">
        <f t="shared" si="228"/>
        <v>5450</v>
      </c>
      <c r="CU162" s="454">
        <f t="shared" si="228"/>
        <v>6908.333333333333</v>
      </c>
      <c r="CV162" s="454">
        <f t="shared" si="228"/>
        <v>7950</v>
      </c>
      <c r="CW162" s="454">
        <f t="shared" si="228"/>
        <v>7950</v>
      </c>
      <c r="CX162" s="454">
        <f t="shared" si="228"/>
        <v>5450</v>
      </c>
      <c r="CY162" s="454">
        <f t="shared" si="228"/>
        <v>5450</v>
      </c>
      <c r="CZ162" s="454">
        <f t="shared" si="228"/>
        <v>5450</v>
      </c>
      <c r="DA162" s="454">
        <f t="shared" si="228"/>
        <v>6908.333333333333</v>
      </c>
      <c r="DB162" s="454">
        <f t="shared" si="228"/>
        <v>5450</v>
      </c>
      <c r="DC162" s="454">
        <f t="shared" si="228"/>
        <v>7950</v>
      </c>
      <c r="DD162" s="454">
        <f t="shared" si="228"/>
        <v>5450</v>
      </c>
      <c r="DE162" s="454">
        <f t="shared" si="228"/>
        <v>5450</v>
      </c>
      <c r="DF162" s="454">
        <f t="shared" si="228"/>
        <v>5450</v>
      </c>
      <c r="DG162" s="454">
        <f t="shared" si="228"/>
        <v>6908.333333333333</v>
      </c>
      <c r="DH162" s="454">
        <f t="shared" si="228"/>
        <v>7950</v>
      </c>
      <c r="DI162" s="454">
        <f t="shared" si="228"/>
        <v>7950</v>
      </c>
      <c r="DJ162" s="454">
        <f t="shared" si="228"/>
        <v>5450</v>
      </c>
      <c r="DK162" s="454">
        <f t="shared" si="228"/>
        <v>5450</v>
      </c>
      <c r="DL162" s="454">
        <f t="shared" si="228"/>
        <v>5450</v>
      </c>
      <c r="DM162" s="454">
        <f t="shared" si="228"/>
        <v>6908.333333333333</v>
      </c>
      <c r="DN162" s="454">
        <f t="shared" si="228"/>
        <v>5450</v>
      </c>
      <c r="DO162" s="454">
        <f t="shared" si="228"/>
        <v>7950</v>
      </c>
      <c r="DP162" s="454">
        <f t="shared" si="228"/>
        <v>5450</v>
      </c>
      <c r="DQ162" s="454">
        <f t="shared" si="228"/>
        <v>5450</v>
      </c>
      <c r="DR162" s="454">
        <f t="shared" si="228"/>
        <v>5450</v>
      </c>
      <c r="DS162" s="454">
        <f t="shared" si="228"/>
        <v>6908.333333333333</v>
      </c>
      <c r="DT162" s="454">
        <f t="shared" si="228"/>
        <v>7950</v>
      </c>
    </row>
    <row r="163" spans="1:124" x14ac:dyDescent="0.25">
      <c r="A163" s="435"/>
      <c r="B163" s="832"/>
      <c r="C163" s="825" t="s">
        <v>278</v>
      </c>
      <c r="D163" s="438" t="s">
        <v>254</v>
      </c>
      <c r="E163" s="184">
        <f>F91</f>
        <v>2500</v>
      </c>
      <c r="F163" s="184">
        <f t="shared" ref="F163:AB163" si="229">E163</f>
        <v>2500</v>
      </c>
      <c r="G163" s="184">
        <f t="shared" si="229"/>
        <v>2500</v>
      </c>
      <c r="H163" s="184">
        <f t="shared" si="229"/>
        <v>2500</v>
      </c>
      <c r="I163" s="184">
        <f t="shared" si="229"/>
        <v>2500</v>
      </c>
      <c r="J163" s="184">
        <f t="shared" si="229"/>
        <v>2500</v>
      </c>
      <c r="K163" s="184">
        <f t="shared" si="229"/>
        <v>2500</v>
      </c>
      <c r="L163" s="184">
        <f t="shared" si="229"/>
        <v>2500</v>
      </c>
      <c r="M163" s="184">
        <f t="shared" si="229"/>
        <v>2500</v>
      </c>
      <c r="N163" s="184">
        <f t="shared" si="229"/>
        <v>2500</v>
      </c>
      <c r="O163" s="184">
        <f t="shared" si="229"/>
        <v>2500</v>
      </c>
      <c r="P163" s="184">
        <f t="shared" si="229"/>
        <v>2500</v>
      </c>
      <c r="Q163" s="184">
        <f>U91</f>
        <v>2500</v>
      </c>
      <c r="R163" s="184">
        <f t="shared" si="229"/>
        <v>2500</v>
      </c>
      <c r="S163" s="184">
        <f t="shared" si="229"/>
        <v>2500</v>
      </c>
      <c r="T163" s="184">
        <f t="shared" si="229"/>
        <v>2500</v>
      </c>
      <c r="U163" s="184">
        <f t="shared" si="229"/>
        <v>2500</v>
      </c>
      <c r="V163" s="184">
        <f t="shared" si="229"/>
        <v>2500</v>
      </c>
      <c r="W163" s="184">
        <f t="shared" si="229"/>
        <v>2500</v>
      </c>
      <c r="X163" s="184">
        <f t="shared" si="229"/>
        <v>2500</v>
      </c>
      <c r="Y163" s="184">
        <f t="shared" si="229"/>
        <v>2500</v>
      </c>
      <c r="Z163" s="184">
        <f t="shared" si="229"/>
        <v>2500</v>
      </c>
      <c r="AA163" s="184">
        <f t="shared" si="229"/>
        <v>2500</v>
      </c>
      <c r="AB163" s="184">
        <f t="shared" si="229"/>
        <v>2500</v>
      </c>
      <c r="AC163" s="184">
        <f>AG91</f>
        <v>2500</v>
      </c>
      <c r="AD163" s="184">
        <f t="shared" ref="AD163:AN163" si="230">AC163</f>
        <v>2500</v>
      </c>
      <c r="AE163" s="184">
        <f t="shared" si="230"/>
        <v>2500</v>
      </c>
      <c r="AF163" s="184">
        <f t="shared" si="230"/>
        <v>2500</v>
      </c>
      <c r="AG163" s="184">
        <f t="shared" si="230"/>
        <v>2500</v>
      </c>
      <c r="AH163" s="184">
        <f t="shared" si="230"/>
        <v>2500</v>
      </c>
      <c r="AI163" s="184">
        <f t="shared" si="230"/>
        <v>2500</v>
      </c>
      <c r="AJ163" s="184">
        <f t="shared" si="230"/>
        <v>2500</v>
      </c>
      <c r="AK163" s="184">
        <f t="shared" si="230"/>
        <v>2500</v>
      </c>
      <c r="AL163" s="184">
        <f t="shared" si="230"/>
        <v>2500</v>
      </c>
      <c r="AM163" s="184">
        <f t="shared" si="230"/>
        <v>2500</v>
      </c>
      <c r="AN163" s="184">
        <f t="shared" si="230"/>
        <v>2500</v>
      </c>
      <c r="AO163" s="184">
        <f>AS91</f>
        <v>3750</v>
      </c>
      <c r="AP163" s="184">
        <f t="shared" ref="AP163:AZ163" si="231">AO163</f>
        <v>3750</v>
      </c>
      <c r="AQ163" s="184">
        <f t="shared" si="231"/>
        <v>3750</v>
      </c>
      <c r="AR163" s="184">
        <f t="shared" si="231"/>
        <v>3750</v>
      </c>
      <c r="AS163" s="184">
        <f t="shared" si="231"/>
        <v>3750</v>
      </c>
      <c r="AT163" s="184">
        <f t="shared" si="231"/>
        <v>3750</v>
      </c>
      <c r="AU163" s="184">
        <f t="shared" si="231"/>
        <v>3750</v>
      </c>
      <c r="AV163" s="184">
        <f t="shared" si="231"/>
        <v>3750</v>
      </c>
      <c r="AW163" s="184">
        <f t="shared" si="231"/>
        <v>3750</v>
      </c>
      <c r="AX163" s="184">
        <f t="shared" si="231"/>
        <v>3750</v>
      </c>
      <c r="AY163" s="184">
        <f t="shared" si="231"/>
        <v>3750</v>
      </c>
      <c r="AZ163" s="184">
        <f t="shared" si="231"/>
        <v>3750</v>
      </c>
      <c r="BA163" s="184">
        <f>BE91</f>
        <v>3750</v>
      </c>
      <c r="BB163" s="184">
        <f t="shared" ref="BB163:BL163" si="232">BA163</f>
        <v>3750</v>
      </c>
      <c r="BC163" s="184">
        <f t="shared" si="232"/>
        <v>3750</v>
      </c>
      <c r="BD163" s="184">
        <f t="shared" si="232"/>
        <v>3750</v>
      </c>
      <c r="BE163" s="184">
        <f t="shared" si="232"/>
        <v>3750</v>
      </c>
      <c r="BF163" s="184">
        <f t="shared" si="232"/>
        <v>3750</v>
      </c>
      <c r="BG163" s="184">
        <f t="shared" si="232"/>
        <v>3750</v>
      </c>
      <c r="BH163" s="184">
        <f t="shared" si="232"/>
        <v>3750</v>
      </c>
      <c r="BI163" s="184">
        <f t="shared" si="232"/>
        <v>3750</v>
      </c>
      <c r="BJ163" s="184">
        <f t="shared" si="232"/>
        <v>3750</v>
      </c>
      <c r="BK163" s="184">
        <f t="shared" si="232"/>
        <v>3750</v>
      </c>
      <c r="BL163" s="184">
        <f t="shared" si="232"/>
        <v>3750</v>
      </c>
      <c r="BM163" s="184">
        <f>BQ91</f>
        <v>3750</v>
      </c>
      <c r="BN163" s="184">
        <f t="shared" ref="BN163:BX163" si="233">BM163</f>
        <v>3750</v>
      </c>
      <c r="BO163" s="184">
        <f t="shared" si="233"/>
        <v>3750</v>
      </c>
      <c r="BP163" s="184">
        <f t="shared" si="233"/>
        <v>3750</v>
      </c>
      <c r="BQ163" s="184">
        <f t="shared" si="233"/>
        <v>3750</v>
      </c>
      <c r="BR163" s="184">
        <f t="shared" si="233"/>
        <v>3750</v>
      </c>
      <c r="BS163" s="184">
        <f t="shared" si="233"/>
        <v>3750</v>
      </c>
      <c r="BT163" s="184">
        <f t="shared" si="233"/>
        <v>3750</v>
      </c>
      <c r="BU163" s="184">
        <f t="shared" si="233"/>
        <v>3750</v>
      </c>
      <c r="BV163" s="184">
        <f t="shared" si="233"/>
        <v>3750</v>
      </c>
      <c r="BW163" s="184">
        <f t="shared" si="233"/>
        <v>3750</v>
      </c>
      <c r="BX163" s="184">
        <f t="shared" si="233"/>
        <v>3750</v>
      </c>
      <c r="BY163" s="184">
        <f>CC91</f>
        <v>3750</v>
      </c>
      <c r="BZ163" s="184">
        <f t="shared" ref="BZ163:CJ163" si="234">BY163</f>
        <v>3750</v>
      </c>
      <c r="CA163" s="184">
        <f t="shared" si="234"/>
        <v>3750</v>
      </c>
      <c r="CB163" s="184">
        <f t="shared" si="234"/>
        <v>3750</v>
      </c>
      <c r="CC163" s="184">
        <f t="shared" si="234"/>
        <v>3750</v>
      </c>
      <c r="CD163" s="184">
        <f t="shared" si="234"/>
        <v>3750</v>
      </c>
      <c r="CE163" s="184">
        <f t="shared" si="234"/>
        <v>3750</v>
      </c>
      <c r="CF163" s="184">
        <f t="shared" si="234"/>
        <v>3750</v>
      </c>
      <c r="CG163" s="184">
        <f t="shared" si="234"/>
        <v>3750</v>
      </c>
      <c r="CH163" s="184">
        <f t="shared" si="234"/>
        <v>3750</v>
      </c>
      <c r="CI163" s="184">
        <f t="shared" si="234"/>
        <v>3750</v>
      </c>
      <c r="CJ163" s="184">
        <f t="shared" si="234"/>
        <v>3750</v>
      </c>
      <c r="CK163" s="184">
        <f>CO91</f>
        <v>3750</v>
      </c>
      <c r="CL163" s="184">
        <f t="shared" ref="CL163:CV163" si="235">CK163</f>
        <v>3750</v>
      </c>
      <c r="CM163" s="184">
        <f t="shared" si="235"/>
        <v>3750</v>
      </c>
      <c r="CN163" s="184">
        <f t="shared" si="235"/>
        <v>3750</v>
      </c>
      <c r="CO163" s="184">
        <f t="shared" si="235"/>
        <v>3750</v>
      </c>
      <c r="CP163" s="184">
        <f t="shared" si="235"/>
        <v>3750</v>
      </c>
      <c r="CQ163" s="184">
        <f t="shared" si="235"/>
        <v>3750</v>
      </c>
      <c r="CR163" s="184">
        <f t="shared" si="235"/>
        <v>3750</v>
      </c>
      <c r="CS163" s="184">
        <f t="shared" si="235"/>
        <v>3750</v>
      </c>
      <c r="CT163" s="184">
        <f t="shared" si="235"/>
        <v>3750</v>
      </c>
      <c r="CU163" s="184">
        <f t="shared" si="235"/>
        <v>3750</v>
      </c>
      <c r="CV163" s="184">
        <f t="shared" si="235"/>
        <v>3750</v>
      </c>
      <c r="CW163" s="184">
        <f>DA91</f>
        <v>3750</v>
      </c>
      <c r="CX163" s="184">
        <f t="shared" ref="CX163:DH163" si="236">CW163</f>
        <v>3750</v>
      </c>
      <c r="CY163" s="184">
        <f t="shared" si="236"/>
        <v>3750</v>
      </c>
      <c r="CZ163" s="184">
        <f t="shared" si="236"/>
        <v>3750</v>
      </c>
      <c r="DA163" s="184">
        <f t="shared" si="236"/>
        <v>3750</v>
      </c>
      <c r="DB163" s="184">
        <f t="shared" si="236"/>
        <v>3750</v>
      </c>
      <c r="DC163" s="184">
        <f t="shared" si="236"/>
        <v>3750</v>
      </c>
      <c r="DD163" s="184">
        <f t="shared" si="236"/>
        <v>3750</v>
      </c>
      <c r="DE163" s="184">
        <f t="shared" si="236"/>
        <v>3750</v>
      </c>
      <c r="DF163" s="184">
        <f t="shared" si="236"/>
        <v>3750</v>
      </c>
      <c r="DG163" s="184">
        <f t="shared" si="236"/>
        <v>3750</v>
      </c>
      <c r="DH163" s="184">
        <f t="shared" si="236"/>
        <v>3750</v>
      </c>
      <c r="DI163" s="184">
        <f>DM91</f>
        <v>3750</v>
      </c>
      <c r="DJ163" s="184">
        <f t="shared" ref="DJ163:DT163" si="237">DI163</f>
        <v>3750</v>
      </c>
      <c r="DK163" s="184">
        <f t="shared" si="237"/>
        <v>3750</v>
      </c>
      <c r="DL163" s="184">
        <f t="shared" si="237"/>
        <v>3750</v>
      </c>
      <c r="DM163" s="184">
        <f t="shared" si="237"/>
        <v>3750</v>
      </c>
      <c r="DN163" s="184">
        <f t="shared" si="237"/>
        <v>3750</v>
      </c>
      <c r="DO163" s="184">
        <f t="shared" si="237"/>
        <v>3750</v>
      </c>
      <c r="DP163" s="184">
        <f t="shared" si="237"/>
        <v>3750</v>
      </c>
      <c r="DQ163" s="184">
        <f t="shared" si="237"/>
        <v>3750</v>
      </c>
      <c r="DR163" s="184">
        <f t="shared" si="237"/>
        <v>3750</v>
      </c>
      <c r="DS163" s="184">
        <f t="shared" si="237"/>
        <v>3750</v>
      </c>
      <c r="DT163" s="184">
        <f t="shared" si="237"/>
        <v>3750</v>
      </c>
    </row>
    <row r="164" spans="1:124" x14ac:dyDescent="0.25">
      <c r="A164" s="435"/>
      <c r="B164" s="832"/>
      <c r="C164" s="826"/>
      <c r="D164" s="438" t="s">
        <v>270</v>
      </c>
      <c r="E164" s="184"/>
      <c r="F164" s="184"/>
      <c r="G164" s="184"/>
      <c r="H164" s="184"/>
      <c r="I164" s="184"/>
      <c r="J164" s="184"/>
      <c r="K164" s="184">
        <f>J163/2</f>
        <v>1250</v>
      </c>
      <c r="L164" s="184"/>
      <c r="M164" s="184"/>
      <c r="N164" s="184"/>
      <c r="O164" s="184"/>
      <c r="P164" s="184">
        <f>O163/2</f>
        <v>1250</v>
      </c>
      <c r="Q164" s="184"/>
      <c r="R164" s="184"/>
      <c r="S164" s="184"/>
      <c r="T164" s="184"/>
      <c r="U164" s="184"/>
      <c r="V164" s="184"/>
      <c r="W164" s="184">
        <f>V163/2</f>
        <v>1250</v>
      </c>
      <c r="X164" s="184"/>
      <c r="Y164" s="184"/>
      <c r="Z164" s="184"/>
      <c r="AA164" s="184"/>
      <c r="AB164" s="184">
        <f>AA163/2</f>
        <v>1250</v>
      </c>
      <c r="AC164" s="184"/>
      <c r="AD164" s="184"/>
      <c r="AE164" s="184"/>
      <c r="AF164" s="184"/>
      <c r="AG164" s="184"/>
      <c r="AH164" s="184"/>
      <c r="AI164" s="184">
        <f>AH163/2</f>
        <v>1250</v>
      </c>
      <c r="AJ164" s="184"/>
      <c r="AK164" s="184"/>
      <c r="AL164" s="184"/>
      <c r="AM164" s="184"/>
      <c r="AN164" s="184">
        <f>AM163/2</f>
        <v>1250</v>
      </c>
      <c r="AO164" s="184"/>
      <c r="AP164" s="184"/>
      <c r="AQ164" s="184"/>
      <c r="AR164" s="184"/>
      <c r="AS164" s="184"/>
      <c r="AT164" s="184"/>
      <c r="AU164" s="184">
        <f>AT163/2</f>
        <v>1875</v>
      </c>
      <c r="AV164" s="184"/>
      <c r="AW164" s="184"/>
      <c r="AX164" s="184"/>
      <c r="AY164" s="184"/>
      <c r="AZ164" s="184">
        <f>AY163/2</f>
        <v>1875</v>
      </c>
      <c r="BA164" s="184"/>
      <c r="BB164" s="184"/>
      <c r="BC164" s="184"/>
      <c r="BD164" s="184"/>
      <c r="BE164" s="184"/>
      <c r="BF164" s="184"/>
      <c r="BG164" s="184">
        <f>BF163/2</f>
        <v>1875</v>
      </c>
      <c r="BH164" s="184"/>
      <c r="BI164" s="184"/>
      <c r="BJ164" s="184"/>
      <c r="BK164" s="184"/>
      <c r="BL164" s="184">
        <f>BK163/2</f>
        <v>1875</v>
      </c>
      <c r="BM164" s="184"/>
      <c r="BN164" s="184"/>
      <c r="BO164" s="184"/>
      <c r="BP164" s="184"/>
      <c r="BQ164" s="184"/>
      <c r="BR164" s="184"/>
      <c r="BS164" s="184">
        <f>BR163/2</f>
        <v>1875</v>
      </c>
      <c r="BT164" s="184"/>
      <c r="BU164" s="184"/>
      <c r="BV164" s="184"/>
      <c r="BW164" s="184"/>
      <c r="BX164" s="184">
        <f>BW163/2</f>
        <v>1875</v>
      </c>
      <c r="BY164" s="184"/>
      <c r="BZ164" s="184"/>
      <c r="CA164" s="184"/>
      <c r="CB164" s="184"/>
      <c r="CC164" s="184"/>
      <c r="CD164" s="184"/>
      <c r="CE164" s="184">
        <f>CD163/2</f>
        <v>1875</v>
      </c>
      <c r="CF164" s="184"/>
      <c r="CG164" s="184"/>
      <c r="CH164" s="184"/>
      <c r="CI164" s="184"/>
      <c r="CJ164" s="184">
        <f>CI163/2</f>
        <v>1875</v>
      </c>
      <c r="CK164" s="184"/>
      <c r="CL164" s="184"/>
      <c r="CM164" s="184"/>
      <c r="CN164" s="184"/>
      <c r="CO164" s="184"/>
      <c r="CP164" s="184"/>
      <c r="CQ164" s="184">
        <f>CP163/2</f>
        <v>1875</v>
      </c>
      <c r="CR164" s="184"/>
      <c r="CS164" s="184"/>
      <c r="CT164" s="184"/>
      <c r="CU164" s="184"/>
      <c r="CV164" s="184">
        <f>CU163/2</f>
        <v>1875</v>
      </c>
      <c r="CW164" s="184"/>
      <c r="CX164" s="184"/>
      <c r="CY164" s="184"/>
      <c r="CZ164" s="184"/>
      <c r="DA164" s="184"/>
      <c r="DB164" s="184"/>
      <c r="DC164" s="184">
        <f>DB163/2</f>
        <v>1875</v>
      </c>
      <c r="DD164" s="184"/>
      <c r="DE164" s="184"/>
      <c r="DF164" s="184"/>
      <c r="DG164" s="184"/>
      <c r="DH164" s="184">
        <f>DG163/2</f>
        <v>1875</v>
      </c>
      <c r="DI164" s="184"/>
      <c r="DJ164" s="184"/>
      <c r="DK164" s="184"/>
      <c r="DL164" s="184"/>
      <c r="DM164" s="184"/>
      <c r="DN164" s="184"/>
      <c r="DO164" s="184">
        <f>DN163/2</f>
        <v>1875</v>
      </c>
      <c r="DP164" s="184"/>
      <c r="DQ164" s="184"/>
      <c r="DR164" s="184"/>
      <c r="DS164" s="184"/>
      <c r="DT164" s="184">
        <f>DS163/2</f>
        <v>1875</v>
      </c>
    </row>
    <row r="165" spans="1:124" x14ac:dyDescent="0.25">
      <c r="B165" s="832"/>
      <c r="C165" s="826"/>
      <c r="D165" s="438" t="s">
        <v>272</v>
      </c>
      <c r="E165" s="184">
        <f t="shared" ref="E165:AA165" si="238">E163*9%</f>
        <v>225</v>
      </c>
      <c r="F165" s="184">
        <f t="shared" si="238"/>
        <v>225</v>
      </c>
      <c r="G165" s="184">
        <f t="shared" si="238"/>
        <v>225</v>
      </c>
      <c r="H165" s="184">
        <f t="shared" si="238"/>
        <v>225</v>
      </c>
      <c r="I165" s="184">
        <f t="shared" si="238"/>
        <v>225</v>
      </c>
      <c r="J165" s="184">
        <f t="shared" si="238"/>
        <v>225</v>
      </c>
      <c r="K165" s="184">
        <f t="shared" si="238"/>
        <v>225</v>
      </c>
      <c r="L165" s="184">
        <f t="shared" si="238"/>
        <v>225</v>
      </c>
      <c r="M165" s="184">
        <f t="shared" si="238"/>
        <v>225</v>
      </c>
      <c r="N165" s="184">
        <f t="shared" si="238"/>
        <v>225</v>
      </c>
      <c r="O165" s="184">
        <f t="shared" si="238"/>
        <v>225</v>
      </c>
      <c r="P165" s="184">
        <f>P163*9%</f>
        <v>225</v>
      </c>
      <c r="Q165" s="184">
        <f t="shared" si="238"/>
        <v>225</v>
      </c>
      <c r="R165" s="184">
        <f t="shared" si="238"/>
        <v>225</v>
      </c>
      <c r="S165" s="184">
        <f>S163*9%</f>
        <v>225</v>
      </c>
      <c r="T165" s="184">
        <f t="shared" si="238"/>
        <v>225</v>
      </c>
      <c r="U165" s="184">
        <f t="shared" si="238"/>
        <v>225</v>
      </c>
      <c r="V165" s="184">
        <f t="shared" si="238"/>
        <v>225</v>
      </c>
      <c r="W165" s="184">
        <f t="shared" si="238"/>
        <v>225</v>
      </c>
      <c r="X165" s="184">
        <f t="shared" si="238"/>
        <v>225</v>
      </c>
      <c r="Y165" s="184">
        <f t="shared" si="238"/>
        <v>225</v>
      </c>
      <c r="Z165" s="184">
        <f t="shared" si="238"/>
        <v>225</v>
      </c>
      <c r="AA165" s="184">
        <f t="shared" si="238"/>
        <v>225</v>
      </c>
      <c r="AB165" s="184">
        <f>AB163*9%</f>
        <v>225</v>
      </c>
      <c r="AC165" s="184">
        <f>AC163*9%</f>
        <v>225</v>
      </c>
      <c r="AD165" s="184">
        <f>AD163*9%</f>
        <v>225</v>
      </c>
      <c r="AE165" s="184">
        <f>AE163*9%</f>
        <v>225</v>
      </c>
      <c r="AF165" s="184">
        <f t="shared" ref="AF165:AM165" si="239">AF163*9%</f>
        <v>225</v>
      </c>
      <c r="AG165" s="184">
        <f t="shared" si="239"/>
        <v>225</v>
      </c>
      <c r="AH165" s="184">
        <f t="shared" si="239"/>
        <v>225</v>
      </c>
      <c r="AI165" s="184">
        <f t="shared" si="239"/>
        <v>225</v>
      </c>
      <c r="AJ165" s="184">
        <f t="shared" si="239"/>
        <v>225</v>
      </c>
      <c r="AK165" s="184">
        <f t="shared" si="239"/>
        <v>225</v>
      </c>
      <c r="AL165" s="184">
        <f t="shared" si="239"/>
        <v>225</v>
      </c>
      <c r="AM165" s="184">
        <f t="shared" si="239"/>
        <v>225</v>
      </c>
      <c r="AN165" s="184">
        <f>AN163*9%</f>
        <v>225</v>
      </c>
      <c r="AO165" s="184">
        <f>AO163*9%</f>
        <v>337.5</v>
      </c>
      <c r="AP165" s="184">
        <f>AP163*9%</f>
        <v>337.5</v>
      </c>
      <c r="AQ165" s="184">
        <f>AQ163*9%</f>
        <v>337.5</v>
      </c>
      <c r="AR165" s="184">
        <f t="shared" ref="AR165:AY165" si="240">AR163*9%</f>
        <v>337.5</v>
      </c>
      <c r="AS165" s="184">
        <f t="shared" si="240"/>
        <v>337.5</v>
      </c>
      <c r="AT165" s="184">
        <f t="shared" si="240"/>
        <v>337.5</v>
      </c>
      <c r="AU165" s="184">
        <f t="shared" si="240"/>
        <v>337.5</v>
      </c>
      <c r="AV165" s="184">
        <f t="shared" si="240"/>
        <v>337.5</v>
      </c>
      <c r="AW165" s="184">
        <f t="shared" si="240"/>
        <v>337.5</v>
      </c>
      <c r="AX165" s="184">
        <f t="shared" si="240"/>
        <v>337.5</v>
      </c>
      <c r="AY165" s="184">
        <f t="shared" si="240"/>
        <v>337.5</v>
      </c>
      <c r="AZ165" s="184">
        <f>AZ163*9%</f>
        <v>337.5</v>
      </c>
      <c r="BA165" s="184">
        <f>BA163*9%</f>
        <v>337.5</v>
      </c>
      <c r="BB165" s="184">
        <f>BB163*9%</f>
        <v>337.5</v>
      </c>
      <c r="BC165" s="184">
        <f>BC163*9%</f>
        <v>337.5</v>
      </c>
      <c r="BD165" s="184">
        <f t="shared" ref="BD165:BK165" si="241">BD163*9%</f>
        <v>337.5</v>
      </c>
      <c r="BE165" s="184">
        <f t="shared" si="241"/>
        <v>337.5</v>
      </c>
      <c r="BF165" s="184">
        <f t="shared" si="241"/>
        <v>337.5</v>
      </c>
      <c r="BG165" s="184">
        <f t="shared" si="241"/>
        <v>337.5</v>
      </c>
      <c r="BH165" s="184">
        <f t="shared" si="241"/>
        <v>337.5</v>
      </c>
      <c r="BI165" s="184">
        <f t="shared" si="241"/>
        <v>337.5</v>
      </c>
      <c r="BJ165" s="184">
        <f t="shared" si="241"/>
        <v>337.5</v>
      </c>
      <c r="BK165" s="184">
        <f t="shared" si="241"/>
        <v>337.5</v>
      </c>
      <c r="BL165" s="184">
        <f>BL163*9%</f>
        <v>337.5</v>
      </c>
      <c r="BM165" s="184">
        <f>BM163*9%</f>
        <v>337.5</v>
      </c>
      <c r="BN165" s="184">
        <f>BN163*9%</f>
        <v>337.5</v>
      </c>
      <c r="BO165" s="184">
        <f>BO163*9%</f>
        <v>337.5</v>
      </c>
      <c r="BP165" s="184">
        <f t="shared" ref="BP165:BW165" si="242">BP163*9%</f>
        <v>337.5</v>
      </c>
      <c r="BQ165" s="184">
        <f t="shared" si="242"/>
        <v>337.5</v>
      </c>
      <c r="BR165" s="184">
        <f t="shared" si="242"/>
        <v>337.5</v>
      </c>
      <c r="BS165" s="184">
        <f t="shared" si="242"/>
        <v>337.5</v>
      </c>
      <c r="BT165" s="184">
        <f t="shared" si="242"/>
        <v>337.5</v>
      </c>
      <c r="BU165" s="184">
        <f t="shared" si="242"/>
        <v>337.5</v>
      </c>
      <c r="BV165" s="184">
        <f t="shared" si="242"/>
        <v>337.5</v>
      </c>
      <c r="BW165" s="184">
        <f t="shared" si="242"/>
        <v>337.5</v>
      </c>
      <c r="BX165" s="184">
        <f>BX163*9%</f>
        <v>337.5</v>
      </c>
      <c r="BY165" s="184">
        <f>BY163*9%</f>
        <v>337.5</v>
      </c>
      <c r="BZ165" s="184">
        <f>BZ163*9%</f>
        <v>337.5</v>
      </c>
      <c r="CA165" s="184">
        <f>CA163*9%</f>
        <v>337.5</v>
      </c>
      <c r="CB165" s="184">
        <f t="shared" ref="CB165:CI165" si="243">CB163*9%</f>
        <v>337.5</v>
      </c>
      <c r="CC165" s="184">
        <f t="shared" si="243"/>
        <v>337.5</v>
      </c>
      <c r="CD165" s="184">
        <f t="shared" si="243"/>
        <v>337.5</v>
      </c>
      <c r="CE165" s="184">
        <f t="shared" si="243"/>
        <v>337.5</v>
      </c>
      <c r="CF165" s="184">
        <f t="shared" si="243"/>
        <v>337.5</v>
      </c>
      <c r="CG165" s="184">
        <f t="shared" si="243"/>
        <v>337.5</v>
      </c>
      <c r="CH165" s="184">
        <f t="shared" si="243"/>
        <v>337.5</v>
      </c>
      <c r="CI165" s="184">
        <f t="shared" si="243"/>
        <v>337.5</v>
      </c>
      <c r="CJ165" s="184">
        <f>CJ163*9%</f>
        <v>337.5</v>
      </c>
      <c r="CK165" s="184">
        <f>CK163*9%</f>
        <v>337.5</v>
      </c>
      <c r="CL165" s="184">
        <f>CL163*9%</f>
        <v>337.5</v>
      </c>
      <c r="CM165" s="184">
        <f>CM163*9%</f>
        <v>337.5</v>
      </c>
      <c r="CN165" s="184">
        <f t="shared" ref="CN165:CU165" si="244">CN163*9%</f>
        <v>337.5</v>
      </c>
      <c r="CO165" s="184">
        <f t="shared" si="244"/>
        <v>337.5</v>
      </c>
      <c r="CP165" s="184">
        <f t="shared" si="244"/>
        <v>337.5</v>
      </c>
      <c r="CQ165" s="184">
        <f t="shared" si="244"/>
        <v>337.5</v>
      </c>
      <c r="CR165" s="184">
        <f t="shared" si="244"/>
        <v>337.5</v>
      </c>
      <c r="CS165" s="184">
        <f t="shared" si="244"/>
        <v>337.5</v>
      </c>
      <c r="CT165" s="184">
        <f t="shared" si="244"/>
        <v>337.5</v>
      </c>
      <c r="CU165" s="184">
        <f t="shared" si="244"/>
        <v>337.5</v>
      </c>
      <c r="CV165" s="184">
        <f>CV163*9%</f>
        <v>337.5</v>
      </c>
      <c r="CW165" s="184">
        <f>CW163*9%</f>
        <v>337.5</v>
      </c>
      <c r="CX165" s="184">
        <f>CX163*9%</f>
        <v>337.5</v>
      </c>
      <c r="CY165" s="184">
        <f>CY163*9%</f>
        <v>337.5</v>
      </c>
      <c r="CZ165" s="184">
        <f t="shared" ref="CZ165:DG165" si="245">CZ163*9%</f>
        <v>337.5</v>
      </c>
      <c r="DA165" s="184">
        <f t="shared" si="245"/>
        <v>337.5</v>
      </c>
      <c r="DB165" s="184">
        <f t="shared" si="245"/>
        <v>337.5</v>
      </c>
      <c r="DC165" s="184">
        <f t="shared" si="245"/>
        <v>337.5</v>
      </c>
      <c r="DD165" s="184">
        <f t="shared" si="245"/>
        <v>337.5</v>
      </c>
      <c r="DE165" s="184">
        <f t="shared" si="245"/>
        <v>337.5</v>
      </c>
      <c r="DF165" s="184">
        <f t="shared" si="245"/>
        <v>337.5</v>
      </c>
      <c r="DG165" s="184">
        <f t="shared" si="245"/>
        <v>337.5</v>
      </c>
      <c r="DH165" s="184">
        <f>DH163*9%</f>
        <v>337.5</v>
      </c>
      <c r="DI165" s="184">
        <f>DI163*9%</f>
        <v>337.5</v>
      </c>
      <c r="DJ165" s="184">
        <f>DJ163*9%</f>
        <v>337.5</v>
      </c>
      <c r="DK165" s="184">
        <f>DK163*9%</f>
        <v>337.5</v>
      </c>
      <c r="DL165" s="184">
        <f t="shared" ref="DL165:DS165" si="246">DL163*9%</f>
        <v>337.5</v>
      </c>
      <c r="DM165" s="184">
        <f t="shared" si="246"/>
        <v>337.5</v>
      </c>
      <c r="DN165" s="184">
        <f t="shared" si="246"/>
        <v>337.5</v>
      </c>
      <c r="DO165" s="184">
        <f t="shared" si="246"/>
        <v>337.5</v>
      </c>
      <c r="DP165" s="184">
        <f t="shared" si="246"/>
        <v>337.5</v>
      </c>
      <c r="DQ165" s="184">
        <f t="shared" si="246"/>
        <v>337.5</v>
      </c>
      <c r="DR165" s="184">
        <f t="shared" si="246"/>
        <v>337.5</v>
      </c>
      <c r="DS165" s="184">
        <f t="shared" si="246"/>
        <v>337.5</v>
      </c>
      <c r="DT165" s="184">
        <f>DT163*9%</f>
        <v>337.5</v>
      </c>
    </row>
    <row r="166" spans="1:124" x14ac:dyDescent="0.25">
      <c r="B166" s="833"/>
      <c r="C166" s="827"/>
      <c r="D166" s="481" t="s">
        <v>273</v>
      </c>
      <c r="E166" s="454">
        <f t="shared" ref="E166:BP166" si="247">SUM(E163:E165)</f>
        <v>2725</v>
      </c>
      <c r="F166" s="454">
        <f t="shared" si="247"/>
        <v>2725</v>
      </c>
      <c r="G166" s="454">
        <f t="shared" si="247"/>
        <v>2725</v>
      </c>
      <c r="H166" s="454">
        <f t="shared" si="247"/>
        <v>2725</v>
      </c>
      <c r="I166" s="454">
        <f t="shared" si="247"/>
        <v>2725</v>
      </c>
      <c r="J166" s="454">
        <f t="shared" si="247"/>
        <v>2725</v>
      </c>
      <c r="K166" s="454">
        <f t="shared" si="247"/>
        <v>3975</v>
      </c>
      <c r="L166" s="454">
        <f t="shared" si="247"/>
        <v>2725</v>
      </c>
      <c r="M166" s="454">
        <f t="shared" si="247"/>
        <v>2725</v>
      </c>
      <c r="N166" s="454">
        <f t="shared" si="247"/>
        <v>2725</v>
      </c>
      <c r="O166" s="454">
        <f t="shared" si="247"/>
        <v>2725</v>
      </c>
      <c r="P166" s="454">
        <f t="shared" si="247"/>
        <v>3975</v>
      </c>
      <c r="Q166" s="454">
        <f t="shared" si="247"/>
        <v>2725</v>
      </c>
      <c r="R166" s="454">
        <f t="shared" si="247"/>
        <v>2725</v>
      </c>
      <c r="S166" s="454">
        <f t="shared" si="247"/>
        <v>2725</v>
      </c>
      <c r="T166" s="454">
        <f t="shared" si="247"/>
        <v>2725</v>
      </c>
      <c r="U166" s="454">
        <f t="shared" si="247"/>
        <v>2725</v>
      </c>
      <c r="V166" s="454">
        <f t="shared" si="247"/>
        <v>2725</v>
      </c>
      <c r="W166" s="454">
        <f t="shared" si="247"/>
        <v>3975</v>
      </c>
      <c r="X166" s="454">
        <f t="shared" si="247"/>
        <v>2725</v>
      </c>
      <c r="Y166" s="454">
        <f t="shared" si="247"/>
        <v>2725</v>
      </c>
      <c r="Z166" s="454">
        <f t="shared" si="247"/>
        <v>2725</v>
      </c>
      <c r="AA166" s="454">
        <f t="shared" si="247"/>
        <v>2725</v>
      </c>
      <c r="AB166" s="454">
        <f t="shared" si="247"/>
        <v>3975</v>
      </c>
      <c r="AC166" s="454">
        <f t="shared" si="247"/>
        <v>2725</v>
      </c>
      <c r="AD166" s="454">
        <f t="shared" si="247"/>
        <v>2725</v>
      </c>
      <c r="AE166" s="454">
        <f t="shared" si="247"/>
        <v>2725</v>
      </c>
      <c r="AF166" s="454">
        <f t="shared" si="247"/>
        <v>2725</v>
      </c>
      <c r="AG166" s="454">
        <f t="shared" si="247"/>
        <v>2725</v>
      </c>
      <c r="AH166" s="454">
        <f t="shared" si="247"/>
        <v>2725</v>
      </c>
      <c r="AI166" s="454">
        <f t="shared" si="247"/>
        <v>3975</v>
      </c>
      <c r="AJ166" s="454">
        <f t="shared" si="247"/>
        <v>2725</v>
      </c>
      <c r="AK166" s="454">
        <f t="shared" si="247"/>
        <v>2725</v>
      </c>
      <c r="AL166" s="454">
        <f t="shared" si="247"/>
        <v>2725</v>
      </c>
      <c r="AM166" s="454">
        <f t="shared" si="247"/>
        <v>2725</v>
      </c>
      <c r="AN166" s="454">
        <f t="shared" si="247"/>
        <v>3975</v>
      </c>
      <c r="AO166" s="454">
        <f t="shared" si="247"/>
        <v>4087.5</v>
      </c>
      <c r="AP166" s="454">
        <f t="shared" si="247"/>
        <v>4087.5</v>
      </c>
      <c r="AQ166" s="454">
        <f t="shared" si="247"/>
        <v>4087.5</v>
      </c>
      <c r="AR166" s="454">
        <f t="shared" si="247"/>
        <v>4087.5</v>
      </c>
      <c r="AS166" s="454">
        <f t="shared" si="247"/>
        <v>4087.5</v>
      </c>
      <c r="AT166" s="454">
        <f t="shared" si="247"/>
        <v>4087.5</v>
      </c>
      <c r="AU166" s="454">
        <f t="shared" si="247"/>
        <v>5962.5</v>
      </c>
      <c r="AV166" s="454">
        <f t="shared" si="247"/>
        <v>4087.5</v>
      </c>
      <c r="AW166" s="454">
        <f t="shared" si="247"/>
        <v>4087.5</v>
      </c>
      <c r="AX166" s="454">
        <f t="shared" si="247"/>
        <v>4087.5</v>
      </c>
      <c r="AY166" s="454">
        <f t="shared" si="247"/>
        <v>4087.5</v>
      </c>
      <c r="AZ166" s="454">
        <f t="shared" si="247"/>
        <v>5962.5</v>
      </c>
      <c r="BA166" s="454">
        <f t="shared" si="247"/>
        <v>4087.5</v>
      </c>
      <c r="BB166" s="454">
        <f t="shared" si="247"/>
        <v>4087.5</v>
      </c>
      <c r="BC166" s="454">
        <f t="shared" si="247"/>
        <v>4087.5</v>
      </c>
      <c r="BD166" s="454">
        <f t="shared" si="247"/>
        <v>4087.5</v>
      </c>
      <c r="BE166" s="454">
        <f t="shared" si="247"/>
        <v>4087.5</v>
      </c>
      <c r="BF166" s="454">
        <f t="shared" si="247"/>
        <v>4087.5</v>
      </c>
      <c r="BG166" s="454">
        <f t="shared" si="247"/>
        <v>5962.5</v>
      </c>
      <c r="BH166" s="454">
        <f t="shared" si="247"/>
        <v>4087.5</v>
      </c>
      <c r="BI166" s="454">
        <f t="shared" si="247"/>
        <v>4087.5</v>
      </c>
      <c r="BJ166" s="454">
        <f t="shared" si="247"/>
        <v>4087.5</v>
      </c>
      <c r="BK166" s="454">
        <f t="shared" si="247"/>
        <v>4087.5</v>
      </c>
      <c r="BL166" s="454">
        <f t="shared" si="247"/>
        <v>5962.5</v>
      </c>
      <c r="BM166" s="454">
        <f t="shared" si="247"/>
        <v>4087.5</v>
      </c>
      <c r="BN166" s="454">
        <f t="shared" si="247"/>
        <v>4087.5</v>
      </c>
      <c r="BO166" s="454">
        <f t="shared" si="247"/>
        <v>4087.5</v>
      </c>
      <c r="BP166" s="454">
        <f t="shared" si="247"/>
        <v>4087.5</v>
      </c>
      <c r="BQ166" s="454">
        <f t="shared" ref="BQ166:DT166" si="248">SUM(BQ163:BQ165)</f>
        <v>4087.5</v>
      </c>
      <c r="BR166" s="454">
        <f t="shared" si="248"/>
        <v>4087.5</v>
      </c>
      <c r="BS166" s="454">
        <f t="shared" si="248"/>
        <v>5962.5</v>
      </c>
      <c r="BT166" s="454">
        <f t="shared" si="248"/>
        <v>4087.5</v>
      </c>
      <c r="BU166" s="454">
        <f t="shared" si="248"/>
        <v>4087.5</v>
      </c>
      <c r="BV166" s="454">
        <f t="shared" si="248"/>
        <v>4087.5</v>
      </c>
      <c r="BW166" s="454">
        <f t="shared" si="248"/>
        <v>4087.5</v>
      </c>
      <c r="BX166" s="454">
        <f t="shared" si="248"/>
        <v>5962.5</v>
      </c>
      <c r="BY166" s="454">
        <f t="shared" si="248"/>
        <v>4087.5</v>
      </c>
      <c r="BZ166" s="454">
        <f t="shared" si="248"/>
        <v>4087.5</v>
      </c>
      <c r="CA166" s="454">
        <f t="shared" si="248"/>
        <v>4087.5</v>
      </c>
      <c r="CB166" s="454">
        <f t="shared" si="248"/>
        <v>4087.5</v>
      </c>
      <c r="CC166" s="454">
        <f t="shared" si="248"/>
        <v>4087.5</v>
      </c>
      <c r="CD166" s="454">
        <f t="shared" si="248"/>
        <v>4087.5</v>
      </c>
      <c r="CE166" s="454">
        <f t="shared" si="248"/>
        <v>5962.5</v>
      </c>
      <c r="CF166" s="454">
        <f t="shared" si="248"/>
        <v>4087.5</v>
      </c>
      <c r="CG166" s="454">
        <f t="shared" si="248"/>
        <v>4087.5</v>
      </c>
      <c r="CH166" s="454">
        <f t="shared" si="248"/>
        <v>4087.5</v>
      </c>
      <c r="CI166" s="454">
        <f t="shared" si="248"/>
        <v>4087.5</v>
      </c>
      <c r="CJ166" s="454">
        <f t="shared" si="248"/>
        <v>5962.5</v>
      </c>
      <c r="CK166" s="454">
        <f t="shared" si="248"/>
        <v>4087.5</v>
      </c>
      <c r="CL166" s="454">
        <f t="shared" si="248"/>
        <v>4087.5</v>
      </c>
      <c r="CM166" s="454">
        <f t="shared" si="248"/>
        <v>4087.5</v>
      </c>
      <c r="CN166" s="454">
        <f t="shared" si="248"/>
        <v>4087.5</v>
      </c>
      <c r="CO166" s="454">
        <f t="shared" si="248"/>
        <v>4087.5</v>
      </c>
      <c r="CP166" s="454">
        <f t="shared" si="248"/>
        <v>4087.5</v>
      </c>
      <c r="CQ166" s="454">
        <f t="shared" si="248"/>
        <v>5962.5</v>
      </c>
      <c r="CR166" s="454">
        <f t="shared" si="248"/>
        <v>4087.5</v>
      </c>
      <c r="CS166" s="454">
        <f t="shared" si="248"/>
        <v>4087.5</v>
      </c>
      <c r="CT166" s="454">
        <f t="shared" si="248"/>
        <v>4087.5</v>
      </c>
      <c r="CU166" s="454">
        <f t="shared" si="248"/>
        <v>4087.5</v>
      </c>
      <c r="CV166" s="454">
        <f t="shared" si="248"/>
        <v>5962.5</v>
      </c>
      <c r="CW166" s="454">
        <f t="shared" si="248"/>
        <v>4087.5</v>
      </c>
      <c r="CX166" s="454">
        <f t="shared" si="248"/>
        <v>4087.5</v>
      </c>
      <c r="CY166" s="454">
        <f t="shared" si="248"/>
        <v>4087.5</v>
      </c>
      <c r="CZ166" s="454">
        <f t="shared" si="248"/>
        <v>4087.5</v>
      </c>
      <c r="DA166" s="454">
        <f t="shared" si="248"/>
        <v>4087.5</v>
      </c>
      <c r="DB166" s="454">
        <f t="shared" si="248"/>
        <v>4087.5</v>
      </c>
      <c r="DC166" s="454">
        <f t="shared" si="248"/>
        <v>5962.5</v>
      </c>
      <c r="DD166" s="454">
        <f t="shared" si="248"/>
        <v>4087.5</v>
      </c>
      <c r="DE166" s="454">
        <f t="shared" si="248"/>
        <v>4087.5</v>
      </c>
      <c r="DF166" s="454">
        <f t="shared" si="248"/>
        <v>4087.5</v>
      </c>
      <c r="DG166" s="454">
        <f t="shared" si="248"/>
        <v>4087.5</v>
      </c>
      <c r="DH166" s="454">
        <f t="shared" si="248"/>
        <v>5962.5</v>
      </c>
      <c r="DI166" s="454">
        <f t="shared" si="248"/>
        <v>4087.5</v>
      </c>
      <c r="DJ166" s="454">
        <f t="shared" si="248"/>
        <v>4087.5</v>
      </c>
      <c r="DK166" s="454">
        <f t="shared" si="248"/>
        <v>4087.5</v>
      </c>
      <c r="DL166" s="454">
        <f t="shared" si="248"/>
        <v>4087.5</v>
      </c>
      <c r="DM166" s="454">
        <f t="shared" si="248"/>
        <v>4087.5</v>
      </c>
      <c r="DN166" s="454">
        <f t="shared" si="248"/>
        <v>4087.5</v>
      </c>
      <c r="DO166" s="454">
        <f t="shared" si="248"/>
        <v>5962.5</v>
      </c>
      <c r="DP166" s="454">
        <f t="shared" si="248"/>
        <v>4087.5</v>
      </c>
      <c r="DQ166" s="454">
        <f t="shared" si="248"/>
        <v>4087.5</v>
      </c>
      <c r="DR166" s="454">
        <f t="shared" si="248"/>
        <v>4087.5</v>
      </c>
      <c r="DS166" s="454">
        <f t="shared" si="248"/>
        <v>4087.5</v>
      </c>
      <c r="DT166" s="454">
        <f t="shared" si="248"/>
        <v>5962.5</v>
      </c>
    </row>
    <row r="167" spans="1:124" x14ac:dyDescent="0.25">
      <c r="B167" s="823" t="s">
        <v>156</v>
      </c>
      <c r="C167" s="825" t="s">
        <v>278</v>
      </c>
      <c r="D167" s="438" t="s">
        <v>254</v>
      </c>
      <c r="E167" s="184">
        <f>F92</f>
        <v>2500</v>
      </c>
      <c r="F167" s="184">
        <f t="shared" ref="F167:AB167" si="249">E167</f>
        <v>2500</v>
      </c>
      <c r="G167" s="184">
        <f t="shared" si="249"/>
        <v>2500</v>
      </c>
      <c r="H167" s="184">
        <f t="shared" si="249"/>
        <v>2500</v>
      </c>
      <c r="I167" s="184">
        <f t="shared" si="249"/>
        <v>2500</v>
      </c>
      <c r="J167" s="184">
        <f t="shared" si="249"/>
        <v>2500</v>
      </c>
      <c r="K167" s="184">
        <f t="shared" si="249"/>
        <v>2500</v>
      </c>
      <c r="L167" s="184">
        <f t="shared" si="249"/>
        <v>2500</v>
      </c>
      <c r="M167" s="184">
        <f t="shared" si="249"/>
        <v>2500</v>
      </c>
      <c r="N167" s="184">
        <f t="shared" si="249"/>
        <v>2500</v>
      </c>
      <c r="O167" s="184">
        <f t="shared" si="249"/>
        <v>2500</v>
      </c>
      <c r="P167" s="184">
        <f t="shared" si="249"/>
        <v>2500</v>
      </c>
      <c r="Q167" s="184">
        <f>U92</f>
        <v>2500</v>
      </c>
      <c r="R167" s="184">
        <f t="shared" si="249"/>
        <v>2500</v>
      </c>
      <c r="S167" s="184">
        <f t="shared" si="249"/>
        <v>2500</v>
      </c>
      <c r="T167" s="184">
        <f t="shared" si="249"/>
        <v>2500</v>
      </c>
      <c r="U167" s="184">
        <f t="shared" si="249"/>
        <v>2500</v>
      </c>
      <c r="V167" s="184">
        <f t="shared" si="249"/>
        <v>2500</v>
      </c>
      <c r="W167" s="184">
        <f t="shared" si="249"/>
        <v>2500</v>
      </c>
      <c r="X167" s="184">
        <f t="shared" si="249"/>
        <v>2500</v>
      </c>
      <c r="Y167" s="184">
        <f t="shared" si="249"/>
        <v>2500</v>
      </c>
      <c r="Z167" s="184">
        <f t="shared" si="249"/>
        <v>2500</v>
      </c>
      <c r="AA167" s="184">
        <f t="shared" si="249"/>
        <v>2500</v>
      </c>
      <c r="AB167" s="184">
        <f t="shared" si="249"/>
        <v>2500</v>
      </c>
      <c r="AC167" s="184">
        <f>AG92</f>
        <v>2500</v>
      </c>
      <c r="AD167" s="184">
        <f t="shared" ref="AD167:AN167" si="250">AC167</f>
        <v>2500</v>
      </c>
      <c r="AE167" s="184">
        <f t="shared" si="250"/>
        <v>2500</v>
      </c>
      <c r="AF167" s="184">
        <f t="shared" si="250"/>
        <v>2500</v>
      </c>
      <c r="AG167" s="184">
        <f t="shared" si="250"/>
        <v>2500</v>
      </c>
      <c r="AH167" s="184">
        <f t="shared" si="250"/>
        <v>2500</v>
      </c>
      <c r="AI167" s="184">
        <f t="shared" si="250"/>
        <v>2500</v>
      </c>
      <c r="AJ167" s="184">
        <f t="shared" si="250"/>
        <v>2500</v>
      </c>
      <c r="AK167" s="184">
        <f t="shared" si="250"/>
        <v>2500</v>
      </c>
      <c r="AL167" s="184">
        <f t="shared" si="250"/>
        <v>2500</v>
      </c>
      <c r="AM167" s="184">
        <f t="shared" si="250"/>
        <v>2500</v>
      </c>
      <c r="AN167" s="184">
        <f t="shared" si="250"/>
        <v>2500</v>
      </c>
      <c r="AO167" s="184">
        <f>AS92</f>
        <v>2500</v>
      </c>
      <c r="AP167" s="184">
        <f t="shared" ref="AP167:AZ167" si="251">AO167</f>
        <v>2500</v>
      </c>
      <c r="AQ167" s="184">
        <f t="shared" si="251"/>
        <v>2500</v>
      </c>
      <c r="AR167" s="184">
        <f t="shared" si="251"/>
        <v>2500</v>
      </c>
      <c r="AS167" s="184">
        <f t="shared" si="251"/>
        <v>2500</v>
      </c>
      <c r="AT167" s="184">
        <f t="shared" si="251"/>
        <v>2500</v>
      </c>
      <c r="AU167" s="184">
        <f t="shared" si="251"/>
        <v>2500</v>
      </c>
      <c r="AV167" s="184">
        <f t="shared" si="251"/>
        <v>2500</v>
      </c>
      <c r="AW167" s="184">
        <f t="shared" si="251"/>
        <v>2500</v>
      </c>
      <c r="AX167" s="184">
        <f t="shared" si="251"/>
        <v>2500</v>
      </c>
      <c r="AY167" s="184">
        <f t="shared" si="251"/>
        <v>2500</v>
      </c>
      <c r="AZ167" s="184">
        <f t="shared" si="251"/>
        <v>2500</v>
      </c>
      <c r="BA167" s="184">
        <f>BE92</f>
        <v>5000</v>
      </c>
      <c r="BB167" s="184">
        <f t="shared" ref="BB167:BL167" si="252">BA167</f>
        <v>5000</v>
      </c>
      <c r="BC167" s="184">
        <f t="shared" si="252"/>
        <v>5000</v>
      </c>
      <c r="BD167" s="184">
        <f t="shared" si="252"/>
        <v>5000</v>
      </c>
      <c r="BE167" s="184">
        <f t="shared" si="252"/>
        <v>5000</v>
      </c>
      <c r="BF167" s="184">
        <f t="shared" si="252"/>
        <v>5000</v>
      </c>
      <c r="BG167" s="184">
        <f t="shared" si="252"/>
        <v>5000</v>
      </c>
      <c r="BH167" s="184">
        <f t="shared" si="252"/>
        <v>5000</v>
      </c>
      <c r="BI167" s="184">
        <f t="shared" si="252"/>
        <v>5000</v>
      </c>
      <c r="BJ167" s="184">
        <f t="shared" si="252"/>
        <v>5000</v>
      </c>
      <c r="BK167" s="184">
        <f t="shared" si="252"/>
        <v>5000</v>
      </c>
      <c r="BL167" s="184">
        <f t="shared" si="252"/>
        <v>5000</v>
      </c>
      <c r="BM167" s="184">
        <f>BQ92</f>
        <v>5000</v>
      </c>
      <c r="BN167" s="184">
        <f t="shared" ref="BN167:BX167" si="253">BM167</f>
        <v>5000</v>
      </c>
      <c r="BO167" s="184">
        <f t="shared" si="253"/>
        <v>5000</v>
      </c>
      <c r="BP167" s="184">
        <f t="shared" si="253"/>
        <v>5000</v>
      </c>
      <c r="BQ167" s="184">
        <f t="shared" si="253"/>
        <v>5000</v>
      </c>
      <c r="BR167" s="184">
        <f t="shared" si="253"/>
        <v>5000</v>
      </c>
      <c r="BS167" s="184">
        <f t="shared" si="253"/>
        <v>5000</v>
      </c>
      <c r="BT167" s="184">
        <f t="shared" si="253"/>
        <v>5000</v>
      </c>
      <c r="BU167" s="184">
        <f t="shared" si="253"/>
        <v>5000</v>
      </c>
      <c r="BV167" s="184">
        <f t="shared" si="253"/>
        <v>5000</v>
      </c>
      <c r="BW167" s="184">
        <f t="shared" si="253"/>
        <v>5000</v>
      </c>
      <c r="BX167" s="184">
        <f t="shared" si="253"/>
        <v>5000</v>
      </c>
      <c r="BY167" s="184">
        <f>CC92</f>
        <v>5000</v>
      </c>
      <c r="BZ167" s="184">
        <f t="shared" ref="BZ167:CJ167" si="254">BY167</f>
        <v>5000</v>
      </c>
      <c r="CA167" s="184">
        <f t="shared" si="254"/>
        <v>5000</v>
      </c>
      <c r="CB167" s="184">
        <f t="shared" si="254"/>
        <v>5000</v>
      </c>
      <c r="CC167" s="184">
        <f t="shared" si="254"/>
        <v>5000</v>
      </c>
      <c r="CD167" s="184">
        <f t="shared" si="254"/>
        <v>5000</v>
      </c>
      <c r="CE167" s="184">
        <f t="shared" si="254"/>
        <v>5000</v>
      </c>
      <c r="CF167" s="184">
        <f t="shared" si="254"/>
        <v>5000</v>
      </c>
      <c r="CG167" s="184">
        <f t="shared" si="254"/>
        <v>5000</v>
      </c>
      <c r="CH167" s="184">
        <f t="shared" si="254"/>
        <v>5000</v>
      </c>
      <c r="CI167" s="184">
        <f t="shared" si="254"/>
        <v>5000</v>
      </c>
      <c r="CJ167" s="184">
        <f t="shared" si="254"/>
        <v>5000</v>
      </c>
      <c r="CK167" s="184">
        <f>CO92</f>
        <v>5000</v>
      </c>
      <c r="CL167" s="184">
        <f t="shared" ref="CL167:CV167" si="255">CK167</f>
        <v>5000</v>
      </c>
      <c r="CM167" s="184">
        <f t="shared" si="255"/>
        <v>5000</v>
      </c>
      <c r="CN167" s="184">
        <f t="shared" si="255"/>
        <v>5000</v>
      </c>
      <c r="CO167" s="184">
        <f t="shared" si="255"/>
        <v>5000</v>
      </c>
      <c r="CP167" s="184">
        <f t="shared" si="255"/>
        <v>5000</v>
      </c>
      <c r="CQ167" s="184">
        <f t="shared" si="255"/>
        <v>5000</v>
      </c>
      <c r="CR167" s="184">
        <f t="shared" si="255"/>
        <v>5000</v>
      </c>
      <c r="CS167" s="184">
        <f t="shared" si="255"/>
        <v>5000</v>
      </c>
      <c r="CT167" s="184">
        <f t="shared" si="255"/>
        <v>5000</v>
      </c>
      <c r="CU167" s="184">
        <f t="shared" si="255"/>
        <v>5000</v>
      </c>
      <c r="CV167" s="184">
        <f t="shared" si="255"/>
        <v>5000</v>
      </c>
      <c r="CW167" s="184">
        <f>DA92</f>
        <v>5000</v>
      </c>
      <c r="CX167" s="184">
        <f t="shared" ref="CX167:DH167" si="256">CW167</f>
        <v>5000</v>
      </c>
      <c r="CY167" s="184">
        <f t="shared" si="256"/>
        <v>5000</v>
      </c>
      <c r="CZ167" s="184">
        <f t="shared" si="256"/>
        <v>5000</v>
      </c>
      <c r="DA167" s="184">
        <f t="shared" si="256"/>
        <v>5000</v>
      </c>
      <c r="DB167" s="184">
        <f t="shared" si="256"/>
        <v>5000</v>
      </c>
      <c r="DC167" s="184">
        <f t="shared" si="256"/>
        <v>5000</v>
      </c>
      <c r="DD167" s="184">
        <f t="shared" si="256"/>
        <v>5000</v>
      </c>
      <c r="DE167" s="184">
        <f t="shared" si="256"/>
        <v>5000</v>
      </c>
      <c r="DF167" s="184">
        <f t="shared" si="256"/>
        <v>5000</v>
      </c>
      <c r="DG167" s="184">
        <f t="shared" si="256"/>
        <v>5000</v>
      </c>
      <c r="DH167" s="184">
        <f t="shared" si="256"/>
        <v>5000</v>
      </c>
      <c r="DI167" s="184">
        <f>DM92</f>
        <v>5000</v>
      </c>
      <c r="DJ167" s="184">
        <f t="shared" ref="DJ167:DT167" si="257">DI167</f>
        <v>5000</v>
      </c>
      <c r="DK167" s="184">
        <f t="shared" si="257"/>
        <v>5000</v>
      </c>
      <c r="DL167" s="184">
        <f t="shared" si="257"/>
        <v>5000</v>
      </c>
      <c r="DM167" s="184">
        <f t="shared" si="257"/>
        <v>5000</v>
      </c>
      <c r="DN167" s="184">
        <f t="shared" si="257"/>
        <v>5000</v>
      </c>
      <c r="DO167" s="184">
        <f t="shared" si="257"/>
        <v>5000</v>
      </c>
      <c r="DP167" s="184">
        <f t="shared" si="257"/>
        <v>5000</v>
      </c>
      <c r="DQ167" s="184">
        <f t="shared" si="257"/>
        <v>5000</v>
      </c>
      <c r="DR167" s="184">
        <f t="shared" si="257"/>
        <v>5000</v>
      </c>
      <c r="DS167" s="184">
        <f t="shared" si="257"/>
        <v>5000</v>
      </c>
      <c r="DT167" s="184">
        <f t="shared" si="257"/>
        <v>5000</v>
      </c>
    </row>
    <row r="168" spans="1:124" x14ac:dyDescent="0.25">
      <c r="B168" s="824"/>
      <c r="C168" s="826"/>
      <c r="D168" s="438" t="s">
        <v>270</v>
      </c>
      <c r="E168" s="184"/>
      <c r="F168" s="184"/>
      <c r="G168" s="184"/>
      <c r="H168" s="184"/>
      <c r="I168" s="184"/>
      <c r="J168" s="184"/>
      <c r="K168" s="184">
        <f>J167/2</f>
        <v>1250</v>
      </c>
      <c r="L168" s="184"/>
      <c r="M168" s="184"/>
      <c r="N168" s="184"/>
      <c r="O168" s="184"/>
      <c r="P168" s="184">
        <f>O167/2</f>
        <v>1250</v>
      </c>
      <c r="Q168" s="184"/>
      <c r="R168" s="184"/>
      <c r="S168" s="184"/>
      <c r="T168" s="184"/>
      <c r="U168" s="184"/>
      <c r="V168" s="184"/>
      <c r="W168" s="184">
        <f>V167/2</f>
        <v>1250</v>
      </c>
      <c r="X168" s="184"/>
      <c r="Y168" s="184"/>
      <c r="Z168" s="184"/>
      <c r="AA168" s="184"/>
      <c r="AB168" s="184">
        <f>AA167/2</f>
        <v>1250</v>
      </c>
      <c r="AC168" s="184"/>
      <c r="AD168" s="184"/>
      <c r="AE168" s="184"/>
      <c r="AF168" s="184"/>
      <c r="AG168" s="184"/>
      <c r="AH168" s="184"/>
      <c r="AI168" s="184">
        <f>AH167/2</f>
        <v>1250</v>
      </c>
      <c r="AJ168" s="184"/>
      <c r="AK168" s="184"/>
      <c r="AL168" s="184"/>
      <c r="AM168" s="184"/>
      <c r="AN168" s="184">
        <f>AM167/2</f>
        <v>1250</v>
      </c>
      <c r="AO168" s="184"/>
      <c r="AP168" s="184"/>
      <c r="AQ168" s="184"/>
      <c r="AR168" s="184"/>
      <c r="AS168" s="184"/>
      <c r="AT168" s="184"/>
      <c r="AU168" s="184">
        <f>AT167/2</f>
        <v>1250</v>
      </c>
      <c r="AV168" s="184"/>
      <c r="AW168" s="184"/>
      <c r="AX168" s="184"/>
      <c r="AY168" s="184"/>
      <c r="AZ168" s="184">
        <f>AY167/2</f>
        <v>1250</v>
      </c>
      <c r="BA168" s="184"/>
      <c r="BB168" s="184"/>
      <c r="BC168" s="184"/>
      <c r="BD168" s="184"/>
      <c r="BE168" s="184"/>
      <c r="BF168" s="184"/>
      <c r="BG168" s="184">
        <f>BF167/2</f>
        <v>2500</v>
      </c>
      <c r="BH168" s="184"/>
      <c r="BI168" s="184"/>
      <c r="BJ168" s="184"/>
      <c r="BK168" s="184"/>
      <c r="BL168" s="184">
        <f>BK167/2</f>
        <v>2500</v>
      </c>
      <c r="BM168" s="184"/>
      <c r="BN168" s="184"/>
      <c r="BO168" s="184"/>
      <c r="BP168" s="184"/>
      <c r="BQ168" s="184"/>
      <c r="BR168" s="184"/>
      <c r="BS168" s="184">
        <f>BR167/2</f>
        <v>2500</v>
      </c>
      <c r="BT168" s="184"/>
      <c r="BU168" s="184"/>
      <c r="BV168" s="184"/>
      <c r="BW168" s="184"/>
      <c r="BX168" s="184">
        <f>BW167/2</f>
        <v>2500</v>
      </c>
      <c r="BY168" s="184"/>
      <c r="BZ168" s="184"/>
      <c r="CA168" s="184"/>
      <c r="CB168" s="184"/>
      <c r="CC168" s="184"/>
      <c r="CD168" s="184"/>
      <c r="CE168" s="184">
        <f>CD167/2</f>
        <v>2500</v>
      </c>
      <c r="CF168" s="184"/>
      <c r="CG168" s="184"/>
      <c r="CH168" s="184"/>
      <c r="CI168" s="184"/>
      <c r="CJ168" s="184">
        <f>CI167/2</f>
        <v>2500</v>
      </c>
      <c r="CK168" s="184"/>
      <c r="CL168" s="184"/>
      <c r="CM168" s="184"/>
      <c r="CN168" s="184"/>
      <c r="CO168" s="184"/>
      <c r="CP168" s="184"/>
      <c r="CQ168" s="184">
        <f>CP167/2</f>
        <v>2500</v>
      </c>
      <c r="CR168" s="184"/>
      <c r="CS168" s="184"/>
      <c r="CT168" s="184"/>
      <c r="CU168" s="184"/>
      <c r="CV168" s="184">
        <f>CU167/2</f>
        <v>2500</v>
      </c>
      <c r="CW168" s="184"/>
      <c r="CX168" s="184"/>
      <c r="CY168" s="184"/>
      <c r="CZ168" s="184"/>
      <c r="DA168" s="184"/>
      <c r="DB168" s="184"/>
      <c r="DC168" s="184">
        <f>DB167/2</f>
        <v>2500</v>
      </c>
      <c r="DD168" s="184"/>
      <c r="DE168" s="184"/>
      <c r="DF168" s="184"/>
      <c r="DG168" s="184"/>
      <c r="DH168" s="184">
        <f>DG167/2</f>
        <v>2500</v>
      </c>
      <c r="DI168" s="184"/>
      <c r="DJ168" s="184"/>
      <c r="DK168" s="184"/>
      <c r="DL168" s="184"/>
      <c r="DM168" s="184"/>
      <c r="DN168" s="184"/>
      <c r="DO168" s="184">
        <f>DN167/2</f>
        <v>2500</v>
      </c>
      <c r="DP168" s="184"/>
      <c r="DQ168" s="184"/>
      <c r="DR168" s="184"/>
      <c r="DS168" s="184"/>
      <c r="DT168" s="184">
        <f>DS167/2</f>
        <v>2500</v>
      </c>
    </row>
    <row r="169" spans="1:124" x14ac:dyDescent="0.25">
      <c r="B169" s="824"/>
      <c r="C169" s="826"/>
      <c r="D169" s="438" t="s">
        <v>272</v>
      </c>
      <c r="E169" s="184">
        <f t="shared" ref="E169:BP169" si="258">E167*9%</f>
        <v>225</v>
      </c>
      <c r="F169" s="184">
        <f t="shared" si="258"/>
        <v>225</v>
      </c>
      <c r="G169" s="184">
        <f t="shared" si="258"/>
        <v>225</v>
      </c>
      <c r="H169" s="184">
        <f t="shared" si="258"/>
        <v>225</v>
      </c>
      <c r="I169" s="184">
        <f t="shared" si="258"/>
        <v>225</v>
      </c>
      <c r="J169" s="184">
        <f t="shared" si="258"/>
        <v>225</v>
      </c>
      <c r="K169" s="184">
        <f t="shared" si="258"/>
        <v>225</v>
      </c>
      <c r="L169" s="184">
        <f t="shared" si="258"/>
        <v>225</v>
      </c>
      <c r="M169" s="184">
        <f t="shared" si="258"/>
        <v>225</v>
      </c>
      <c r="N169" s="184">
        <f t="shared" si="258"/>
        <v>225</v>
      </c>
      <c r="O169" s="184">
        <f t="shared" si="258"/>
        <v>225</v>
      </c>
      <c r="P169" s="184">
        <f t="shared" si="258"/>
        <v>225</v>
      </c>
      <c r="Q169" s="184">
        <f t="shared" si="258"/>
        <v>225</v>
      </c>
      <c r="R169" s="184">
        <f t="shared" si="258"/>
        <v>225</v>
      </c>
      <c r="S169" s="184">
        <f t="shared" si="258"/>
        <v>225</v>
      </c>
      <c r="T169" s="184">
        <f t="shared" si="258"/>
        <v>225</v>
      </c>
      <c r="U169" s="184">
        <f t="shared" si="258"/>
        <v>225</v>
      </c>
      <c r="V169" s="184">
        <f t="shared" si="258"/>
        <v>225</v>
      </c>
      <c r="W169" s="184">
        <f t="shared" si="258"/>
        <v>225</v>
      </c>
      <c r="X169" s="184">
        <f t="shared" si="258"/>
        <v>225</v>
      </c>
      <c r="Y169" s="184">
        <f t="shared" si="258"/>
        <v>225</v>
      </c>
      <c r="Z169" s="184">
        <f t="shared" si="258"/>
        <v>225</v>
      </c>
      <c r="AA169" s="184">
        <f t="shared" si="258"/>
        <v>225</v>
      </c>
      <c r="AB169" s="184">
        <f t="shared" si="258"/>
        <v>225</v>
      </c>
      <c r="AC169" s="184">
        <f t="shared" si="258"/>
        <v>225</v>
      </c>
      <c r="AD169" s="184">
        <f t="shared" si="258"/>
        <v>225</v>
      </c>
      <c r="AE169" s="184">
        <f t="shared" si="258"/>
        <v>225</v>
      </c>
      <c r="AF169" s="184">
        <f t="shared" si="258"/>
        <v>225</v>
      </c>
      <c r="AG169" s="184">
        <f t="shared" si="258"/>
        <v>225</v>
      </c>
      <c r="AH169" s="184">
        <f t="shared" si="258"/>
        <v>225</v>
      </c>
      <c r="AI169" s="184">
        <f t="shared" si="258"/>
        <v>225</v>
      </c>
      <c r="AJ169" s="184">
        <f t="shared" si="258"/>
        <v>225</v>
      </c>
      <c r="AK169" s="184">
        <f t="shared" si="258"/>
        <v>225</v>
      </c>
      <c r="AL169" s="184">
        <f t="shared" si="258"/>
        <v>225</v>
      </c>
      <c r="AM169" s="184">
        <f t="shared" si="258"/>
        <v>225</v>
      </c>
      <c r="AN169" s="184">
        <f t="shared" si="258"/>
        <v>225</v>
      </c>
      <c r="AO169" s="184">
        <f t="shared" si="258"/>
        <v>225</v>
      </c>
      <c r="AP169" s="184">
        <f t="shared" si="258"/>
        <v>225</v>
      </c>
      <c r="AQ169" s="184">
        <f t="shared" si="258"/>
        <v>225</v>
      </c>
      <c r="AR169" s="184">
        <f t="shared" si="258"/>
        <v>225</v>
      </c>
      <c r="AS169" s="184">
        <f t="shared" si="258"/>
        <v>225</v>
      </c>
      <c r="AT169" s="184">
        <f t="shared" si="258"/>
        <v>225</v>
      </c>
      <c r="AU169" s="184">
        <f t="shared" si="258"/>
        <v>225</v>
      </c>
      <c r="AV169" s="184">
        <f t="shared" si="258"/>
        <v>225</v>
      </c>
      <c r="AW169" s="184">
        <f t="shared" si="258"/>
        <v>225</v>
      </c>
      <c r="AX169" s="184">
        <f t="shared" si="258"/>
        <v>225</v>
      </c>
      <c r="AY169" s="184">
        <f t="shared" si="258"/>
        <v>225</v>
      </c>
      <c r="AZ169" s="184">
        <f t="shared" si="258"/>
        <v>225</v>
      </c>
      <c r="BA169" s="184">
        <f t="shared" si="258"/>
        <v>450</v>
      </c>
      <c r="BB169" s="184">
        <f t="shared" si="258"/>
        <v>450</v>
      </c>
      <c r="BC169" s="184">
        <f t="shared" si="258"/>
        <v>450</v>
      </c>
      <c r="BD169" s="184">
        <f t="shared" si="258"/>
        <v>450</v>
      </c>
      <c r="BE169" s="184">
        <f t="shared" si="258"/>
        <v>450</v>
      </c>
      <c r="BF169" s="184">
        <f t="shared" si="258"/>
        <v>450</v>
      </c>
      <c r="BG169" s="184">
        <f t="shared" si="258"/>
        <v>450</v>
      </c>
      <c r="BH169" s="184">
        <f t="shared" si="258"/>
        <v>450</v>
      </c>
      <c r="BI169" s="184">
        <f t="shared" si="258"/>
        <v>450</v>
      </c>
      <c r="BJ169" s="184">
        <f t="shared" si="258"/>
        <v>450</v>
      </c>
      <c r="BK169" s="184">
        <f t="shared" si="258"/>
        <v>450</v>
      </c>
      <c r="BL169" s="184">
        <f t="shared" si="258"/>
        <v>450</v>
      </c>
      <c r="BM169" s="184">
        <f t="shared" si="258"/>
        <v>450</v>
      </c>
      <c r="BN169" s="184">
        <f t="shared" si="258"/>
        <v>450</v>
      </c>
      <c r="BO169" s="184">
        <f t="shared" si="258"/>
        <v>450</v>
      </c>
      <c r="BP169" s="184">
        <f t="shared" si="258"/>
        <v>450</v>
      </c>
      <c r="BQ169" s="184">
        <f t="shared" ref="BQ169:DT169" si="259">BQ167*9%</f>
        <v>450</v>
      </c>
      <c r="BR169" s="184">
        <f t="shared" si="259"/>
        <v>450</v>
      </c>
      <c r="BS169" s="184">
        <f t="shared" si="259"/>
        <v>450</v>
      </c>
      <c r="BT169" s="184">
        <f t="shared" si="259"/>
        <v>450</v>
      </c>
      <c r="BU169" s="184">
        <f t="shared" si="259"/>
        <v>450</v>
      </c>
      <c r="BV169" s="184">
        <f t="shared" si="259"/>
        <v>450</v>
      </c>
      <c r="BW169" s="184">
        <f t="shared" si="259"/>
        <v>450</v>
      </c>
      <c r="BX169" s="184">
        <f t="shared" si="259"/>
        <v>450</v>
      </c>
      <c r="BY169" s="184">
        <f t="shared" si="259"/>
        <v>450</v>
      </c>
      <c r="BZ169" s="184">
        <f t="shared" si="259"/>
        <v>450</v>
      </c>
      <c r="CA169" s="184">
        <f t="shared" si="259"/>
        <v>450</v>
      </c>
      <c r="CB169" s="184">
        <f t="shared" si="259"/>
        <v>450</v>
      </c>
      <c r="CC169" s="184">
        <f t="shared" si="259"/>
        <v>450</v>
      </c>
      <c r="CD169" s="184">
        <f t="shared" si="259"/>
        <v>450</v>
      </c>
      <c r="CE169" s="184">
        <f t="shared" si="259"/>
        <v>450</v>
      </c>
      <c r="CF169" s="184">
        <f t="shared" si="259"/>
        <v>450</v>
      </c>
      <c r="CG169" s="184">
        <f t="shared" si="259"/>
        <v>450</v>
      </c>
      <c r="CH169" s="184">
        <f t="shared" si="259"/>
        <v>450</v>
      </c>
      <c r="CI169" s="184">
        <f t="shared" si="259"/>
        <v>450</v>
      </c>
      <c r="CJ169" s="184">
        <f t="shared" si="259"/>
        <v>450</v>
      </c>
      <c r="CK169" s="184">
        <f t="shared" si="259"/>
        <v>450</v>
      </c>
      <c r="CL169" s="184">
        <f t="shared" si="259"/>
        <v>450</v>
      </c>
      <c r="CM169" s="184">
        <f t="shared" si="259"/>
        <v>450</v>
      </c>
      <c r="CN169" s="184">
        <f t="shared" si="259"/>
        <v>450</v>
      </c>
      <c r="CO169" s="184">
        <f t="shared" si="259"/>
        <v>450</v>
      </c>
      <c r="CP169" s="184">
        <f t="shared" si="259"/>
        <v>450</v>
      </c>
      <c r="CQ169" s="184">
        <f t="shared" si="259"/>
        <v>450</v>
      </c>
      <c r="CR169" s="184">
        <f t="shared" si="259"/>
        <v>450</v>
      </c>
      <c r="CS169" s="184">
        <f t="shared" si="259"/>
        <v>450</v>
      </c>
      <c r="CT169" s="184">
        <f t="shared" si="259"/>
        <v>450</v>
      </c>
      <c r="CU169" s="184">
        <f t="shared" si="259"/>
        <v>450</v>
      </c>
      <c r="CV169" s="184">
        <f t="shared" si="259"/>
        <v>450</v>
      </c>
      <c r="CW169" s="184">
        <f t="shared" si="259"/>
        <v>450</v>
      </c>
      <c r="CX169" s="184">
        <f t="shared" si="259"/>
        <v>450</v>
      </c>
      <c r="CY169" s="184">
        <f t="shared" si="259"/>
        <v>450</v>
      </c>
      <c r="CZ169" s="184">
        <f t="shared" si="259"/>
        <v>450</v>
      </c>
      <c r="DA169" s="184">
        <f t="shared" si="259"/>
        <v>450</v>
      </c>
      <c r="DB169" s="184">
        <f t="shared" si="259"/>
        <v>450</v>
      </c>
      <c r="DC169" s="184">
        <f t="shared" si="259"/>
        <v>450</v>
      </c>
      <c r="DD169" s="184">
        <f t="shared" si="259"/>
        <v>450</v>
      </c>
      <c r="DE169" s="184">
        <f t="shared" si="259"/>
        <v>450</v>
      </c>
      <c r="DF169" s="184">
        <f t="shared" si="259"/>
        <v>450</v>
      </c>
      <c r="DG169" s="184">
        <f t="shared" si="259"/>
        <v>450</v>
      </c>
      <c r="DH169" s="184">
        <f t="shared" si="259"/>
        <v>450</v>
      </c>
      <c r="DI169" s="184">
        <f t="shared" si="259"/>
        <v>450</v>
      </c>
      <c r="DJ169" s="184">
        <f t="shared" si="259"/>
        <v>450</v>
      </c>
      <c r="DK169" s="184">
        <f t="shared" si="259"/>
        <v>450</v>
      </c>
      <c r="DL169" s="184">
        <f t="shared" si="259"/>
        <v>450</v>
      </c>
      <c r="DM169" s="184">
        <f t="shared" si="259"/>
        <v>450</v>
      </c>
      <c r="DN169" s="184">
        <f t="shared" si="259"/>
        <v>450</v>
      </c>
      <c r="DO169" s="184">
        <f t="shared" si="259"/>
        <v>450</v>
      </c>
      <c r="DP169" s="184">
        <f t="shared" si="259"/>
        <v>450</v>
      </c>
      <c r="DQ169" s="184">
        <f t="shared" si="259"/>
        <v>450</v>
      </c>
      <c r="DR169" s="184">
        <f t="shared" si="259"/>
        <v>450</v>
      </c>
      <c r="DS169" s="184">
        <f t="shared" si="259"/>
        <v>450</v>
      </c>
      <c r="DT169" s="184">
        <f t="shared" si="259"/>
        <v>450</v>
      </c>
    </row>
    <row r="170" spans="1:124" x14ac:dyDescent="0.25">
      <c r="B170" s="829"/>
      <c r="C170" s="827"/>
      <c r="D170" s="481" t="s">
        <v>273</v>
      </c>
      <c r="E170" s="454">
        <f t="shared" ref="E170:BP170" si="260">SUM(E167:E169)</f>
        <v>2725</v>
      </c>
      <c r="F170" s="454">
        <f t="shared" si="260"/>
        <v>2725</v>
      </c>
      <c r="G170" s="454">
        <f t="shared" si="260"/>
        <v>2725</v>
      </c>
      <c r="H170" s="454">
        <f t="shared" si="260"/>
        <v>2725</v>
      </c>
      <c r="I170" s="454">
        <f t="shared" si="260"/>
        <v>2725</v>
      </c>
      <c r="J170" s="454">
        <f t="shared" si="260"/>
        <v>2725</v>
      </c>
      <c r="K170" s="454">
        <f t="shared" si="260"/>
        <v>3975</v>
      </c>
      <c r="L170" s="454">
        <f t="shared" si="260"/>
        <v>2725</v>
      </c>
      <c r="M170" s="454">
        <f t="shared" si="260"/>
        <v>2725</v>
      </c>
      <c r="N170" s="454">
        <f t="shared" si="260"/>
        <v>2725</v>
      </c>
      <c r="O170" s="454">
        <f t="shared" si="260"/>
        <v>2725</v>
      </c>
      <c r="P170" s="454">
        <f t="shared" si="260"/>
        <v>3975</v>
      </c>
      <c r="Q170" s="454">
        <f t="shared" si="260"/>
        <v>2725</v>
      </c>
      <c r="R170" s="454">
        <f t="shared" si="260"/>
        <v>2725</v>
      </c>
      <c r="S170" s="454">
        <f t="shared" si="260"/>
        <v>2725</v>
      </c>
      <c r="T170" s="454">
        <f t="shared" si="260"/>
        <v>2725</v>
      </c>
      <c r="U170" s="454">
        <f t="shared" si="260"/>
        <v>2725</v>
      </c>
      <c r="V170" s="454">
        <f t="shared" si="260"/>
        <v>2725</v>
      </c>
      <c r="W170" s="454">
        <f t="shared" si="260"/>
        <v>3975</v>
      </c>
      <c r="X170" s="454">
        <f t="shared" si="260"/>
        <v>2725</v>
      </c>
      <c r="Y170" s="454">
        <f t="shared" si="260"/>
        <v>2725</v>
      </c>
      <c r="Z170" s="454">
        <f t="shared" si="260"/>
        <v>2725</v>
      </c>
      <c r="AA170" s="454">
        <f t="shared" si="260"/>
        <v>2725</v>
      </c>
      <c r="AB170" s="454">
        <f t="shared" si="260"/>
        <v>3975</v>
      </c>
      <c r="AC170" s="454">
        <f t="shared" si="260"/>
        <v>2725</v>
      </c>
      <c r="AD170" s="454">
        <f t="shared" si="260"/>
        <v>2725</v>
      </c>
      <c r="AE170" s="454">
        <f t="shared" si="260"/>
        <v>2725</v>
      </c>
      <c r="AF170" s="454">
        <f t="shared" si="260"/>
        <v>2725</v>
      </c>
      <c r="AG170" s="454">
        <f t="shared" si="260"/>
        <v>2725</v>
      </c>
      <c r="AH170" s="454">
        <f t="shared" si="260"/>
        <v>2725</v>
      </c>
      <c r="AI170" s="454">
        <f t="shared" si="260"/>
        <v>3975</v>
      </c>
      <c r="AJ170" s="454">
        <f t="shared" si="260"/>
        <v>2725</v>
      </c>
      <c r="AK170" s="454">
        <f t="shared" si="260"/>
        <v>2725</v>
      </c>
      <c r="AL170" s="454">
        <f t="shared" si="260"/>
        <v>2725</v>
      </c>
      <c r="AM170" s="454">
        <f t="shared" si="260"/>
        <v>2725</v>
      </c>
      <c r="AN170" s="454">
        <f t="shared" si="260"/>
        <v>3975</v>
      </c>
      <c r="AO170" s="454">
        <f t="shared" si="260"/>
        <v>2725</v>
      </c>
      <c r="AP170" s="454">
        <f t="shared" si="260"/>
        <v>2725</v>
      </c>
      <c r="AQ170" s="454">
        <f t="shared" si="260"/>
        <v>2725</v>
      </c>
      <c r="AR170" s="454">
        <f t="shared" si="260"/>
        <v>2725</v>
      </c>
      <c r="AS170" s="454">
        <f t="shared" si="260"/>
        <v>2725</v>
      </c>
      <c r="AT170" s="454">
        <f t="shared" si="260"/>
        <v>2725</v>
      </c>
      <c r="AU170" s="454">
        <f t="shared" si="260"/>
        <v>3975</v>
      </c>
      <c r="AV170" s="454">
        <f t="shared" si="260"/>
        <v>2725</v>
      </c>
      <c r="AW170" s="454">
        <f t="shared" si="260"/>
        <v>2725</v>
      </c>
      <c r="AX170" s="454">
        <f t="shared" si="260"/>
        <v>2725</v>
      </c>
      <c r="AY170" s="454">
        <f t="shared" si="260"/>
        <v>2725</v>
      </c>
      <c r="AZ170" s="454">
        <f t="shared" si="260"/>
        <v>3975</v>
      </c>
      <c r="BA170" s="454">
        <f t="shared" si="260"/>
        <v>5450</v>
      </c>
      <c r="BB170" s="454">
        <f t="shared" si="260"/>
        <v>5450</v>
      </c>
      <c r="BC170" s="454">
        <f t="shared" si="260"/>
        <v>5450</v>
      </c>
      <c r="BD170" s="454">
        <f t="shared" si="260"/>
        <v>5450</v>
      </c>
      <c r="BE170" s="454">
        <f t="shared" si="260"/>
        <v>5450</v>
      </c>
      <c r="BF170" s="454">
        <f t="shared" si="260"/>
        <v>5450</v>
      </c>
      <c r="BG170" s="454">
        <f t="shared" si="260"/>
        <v>7950</v>
      </c>
      <c r="BH170" s="454">
        <f t="shared" si="260"/>
        <v>5450</v>
      </c>
      <c r="BI170" s="454">
        <f t="shared" si="260"/>
        <v>5450</v>
      </c>
      <c r="BJ170" s="454">
        <f t="shared" si="260"/>
        <v>5450</v>
      </c>
      <c r="BK170" s="454">
        <f t="shared" si="260"/>
        <v>5450</v>
      </c>
      <c r="BL170" s="454">
        <f t="shared" si="260"/>
        <v>7950</v>
      </c>
      <c r="BM170" s="454">
        <f t="shared" si="260"/>
        <v>5450</v>
      </c>
      <c r="BN170" s="454">
        <f t="shared" si="260"/>
        <v>5450</v>
      </c>
      <c r="BO170" s="454">
        <f t="shared" si="260"/>
        <v>5450</v>
      </c>
      <c r="BP170" s="454">
        <f t="shared" si="260"/>
        <v>5450</v>
      </c>
      <c r="BQ170" s="454">
        <f t="shared" ref="BQ170:DT170" si="261">SUM(BQ167:BQ169)</f>
        <v>5450</v>
      </c>
      <c r="BR170" s="454">
        <f t="shared" si="261"/>
        <v>5450</v>
      </c>
      <c r="BS170" s="454">
        <f t="shared" si="261"/>
        <v>7950</v>
      </c>
      <c r="BT170" s="454">
        <f t="shared" si="261"/>
        <v>5450</v>
      </c>
      <c r="BU170" s="454">
        <f t="shared" si="261"/>
        <v>5450</v>
      </c>
      <c r="BV170" s="454">
        <f t="shared" si="261"/>
        <v>5450</v>
      </c>
      <c r="BW170" s="454">
        <f t="shared" si="261"/>
        <v>5450</v>
      </c>
      <c r="BX170" s="454">
        <f t="shared" si="261"/>
        <v>7950</v>
      </c>
      <c r="BY170" s="454">
        <f t="shared" si="261"/>
        <v>5450</v>
      </c>
      <c r="BZ170" s="454">
        <f t="shared" si="261"/>
        <v>5450</v>
      </c>
      <c r="CA170" s="454">
        <f t="shared" si="261"/>
        <v>5450</v>
      </c>
      <c r="CB170" s="454">
        <f t="shared" si="261"/>
        <v>5450</v>
      </c>
      <c r="CC170" s="454">
        <f t="shared" si="261"/>
        <v>5450</v>
      </c>
      <c r="CD170" s="454">
        <f t="shared" si="261"/>
        <v>5450</v>
      </c>
      <c r="CE170" s="454">
        <f t="shared" si="261"/>
        <v>7950</v>
      </c>
      <c r="CF170" s="454">
        <f t="shared" si="261"/>
        <v>5450</v>
      </c>
      <c r="CG170" s="454">
        <f t="shared" si="261"/>
        <v>5450</v>
      </c>
      <c r="CH170" s="454">
        <f t="shared" si="261"/>
        <v>5450</v>
      </c>
      <c r="CI170" s="454">
        <f t="shared" si="261"/>
        <v>5450</v>
      </c>
      <c r="CJ170" s="454">
        <f t="shared" si="261"/>
        <v>7950</v>
      </c>
      <c r="CK170" s="454">
        <f t="shared" si="261"/>
        <v>5450</v>
      </c>
      <c r="CL170" s="454">
        <f t="shared" si="261"/>
        <v>5450</v>
      </c>
      <c r="CM170" s="454">
        <f t="shared" si="261"/>
        <v>5450</v>
      </c>
      <c r="CN170" s="454">
        <f t="shared" si="261"/>
        <v>5450</v>
      </c>
      <c r="CO170" s="454">
        <f t="shared" si="261"/>
        <v>5450</v>
      </c>
      <c r="CP170" s="454">
        <f t="shared" si="261"/>
        <v>5450</v>
      </c>
      <c r="CQ170" s="454">
        <f t="shared" si="261"/>
        <v>7950</v>
      </c>
      <c r="CR170" s="454">
        <f t="shared" si="261"/>
        <v>5450</v>
      </c>
      <c r="CS170" s="454">
        <f t="shared" si="261"/>
        <v>5450</v>
      </c>
      <c r="CT170" s="454">
        <f t="shared" si="261"/>
        <v>5450</v>
      </c>
      <c r="CU170" s="454">
        <f t="shared" si="261"/>
        <v>5450</v>
      </c>
      <c r="CV170" s="454">
        <f t="shared" si="261"/>
        <v>7950</v>
      </c>
      <c r="CW170" s="454">
        <f t="shared" si="261"/>
        <v>5450</v>
      </c>
      <c r="CX170" s="454">
        <f t="shared" si="261"/>
        <v>5450</v>
      </c>
      <c r="CY170" s="454">
        <f t="shared" si="261"/>
        <v>5450</v>
      </c>
      <c r="CZ170" s="454">
        <f t="shared" si="261"/>
        <v>5450</v>
      </c>
      <c r="DA170" s="454">
        <f t="shared" si="261"/>
        <v>5450</v>
      </c>
      <c r="DB170" s="454">
        <f t="shared" si="261"/>
        <v>5450</v>
      </c>
      <c r="DC170" s="454">
        <f t="shared" si="261"/>
        <v>7950</v>
      </c>
      <c r="DD170" s="454">
        <f t="shared" si="261"/>
        <v>5450</v>
      </c>
      <c r="DE170" s="454">
        <f t="shared" si="261"/>
        <v>5450</v>
      </c>
      <c r="DF170" s="454">
        <f t="shared" si="261"/>
        <v>5450</v>
      </c>
      <c r="DG170" s="454">
        <f t="shared" si="261"/>
        <v>5450</v>
      </c>
      <c r="DH170" s="454">
        <f t="shared" si="261"/>
        <v>7950</v>
      </c>
      <c r="DI170" s="454">
        <f t="shared" si="261"/>
        <v>5450</v>
      </c>
      <c r="DJ170" s="454">
        <f t="shared" si="261"/>
        <v>5450</v>
      </c>
      <c r="DK170" s="454">
        <f t="shared" si="261"/>
        <v>5450</v>
      </c>
      <c r="DL170" s="454">
        <f t="shared" si="261"/>
        <v>5450</v>
      </c>
      <c r="DM170" s="454">
        <f t="shared" si="261"/>
        <v>5450</v>
      </c>
      <c r="DN170" s="454">
        <f t="shared" si="261"/>
        <v>5450</v>
      </c>
      <c r="DO170" s="454">
        <f t="shared" si="261"/>
        <v>7950</v>
      </c>
      <c r="DP170" s="454">
        <f t="shared" si="261"/>
        <v>5450</v>
      </c>
      <c r="DQ170" s="454">
        <f t="shared" si="261"/>
        <v>5450</v>
      </c>
      <c r="DR170" s="454">
        <f t="shared" si="261"/>
        <v>5450</v>
      </c>
      <c r="DS170" s="454">
        <f t="shared" si="261"/>
        <v>5450</v>
      </c>
      <c r="DT170" s="454">
        <f t="shared" si="261"/>
        <v>7950</v>
      </c>
    </row>
    <row r="171" spans="1:124" x14ac:dyDescent="0.25">
      <c r="B171" s="823" t="s">
        <v>164</v>
      </c>
      <c r="C171" s="825" t="s">
        <v>278</v>
      </c>
      <c r="D171" s="438" t="s">
        <v>254</v>
      </c>
      <c r="E171" s="184">
        <f>F93</f>
        <v>1500</v>
      </c>
      <c r="F171" s="184">
        <f t="shared" ref="F171:AB171" si="262">E171</f>
        <v>1500</v>
      </c>
      <c r="G171" s="184">
        <f t="shared" si="262"/>
        <v>1500</v>
      </c>
      <c r="H171" s="184">
        <f t="shared" si="262"/>
        <v>1500</v>
      </c>
      <c r="I171" s="184">
        <f t="shared" si="262"/>
        <v>1500</v>
      </c>
      <c r="J171" s="184">
        <f t="shared" si="262"/>
        <v>1500</v>
      </c>
      <c r="K171" s="184">
        <f t="shared" si="262"/>
        <v>1500</v>
      </c>
      <c r="L171" s="184">
        <f t="shared" si="262"/>
        <v>1500</v>
      </c>
      <c r="M171" s="184">
        <f t="shared" si="262"/>
        <v>1500</v>
      </c>
      <c r="N171" s="184">
        <f t="shared" si="262"/>
        <v>1500</v>
      </c>
      <c r="O171" s="184">
        <f t="shared" si="262"/>
        <v>1500</v>
      </c>
      <c r="P171" s="184">
        <f t="shared" si="262"/>
        <v>1500</v>
      </c>
      <c r="Q171" s="184">
        <f>U93</f>
        <v>3000</v>
      </c>
      <c r="R171" s="184">
        <f t="shared" si="262"/>
        <v>3000</v>
      </c>
      <c r="S171" s="184">
        <f t="shared" si="262"/>
        <v>3000</v>
      </c>
      <c r="T171" s="184">
        <f t="shared" si="262"/>
        <v>3000</v>
      </c>
      <c r="U171" s="184">
        <f t="shared" si="262"/>
        <v>3000</v>
      </c>
      <c r="V171" s="184">
        <f t="shared" si="262"/>
        <v>3000</v>
      </c>
      <c r="W171" s="184">
        <f t="shared" si="262"/>
        <v>3000</v>
      </c>
      <c r="X171" s="184">
        <f t="shared" si="262"/>
        <v>3000</v>
      </c>
      <c r="Y171" s="184">
        <f t="shared" si="262"/>
        <v>3000</v>
      </c>
      <c r="Z171" s="184">
        <f t="shared" si="262"/>
        <v>3000</v>
      </c>
      <c r="AA171" s="184">
        <f t="shared" si="262"/>
        <v>3000</v>
      </c>
      <c r="AB171" s="184">
        <f t="shared" si="262"/>
        <v>3000</v>
      </c>
      <c r="AC171" s="184">
        <f>AG93</f>
        <v>3000</v>
      </c>
      <c r="AD171" s="184">
        <f t="shared" ref="AD171:AN171" si="263">AC171</f>
        <v>3000</v>
      </c>
      <c r="AE171" s="184">
        <f t="shared" si="263"/>
        <v>3000</v>
      </c>
      <c r="AF171" s="184">
        <f t="shared" si="263"/>
        <v>3000</v>
      </c>
      <c r="AG171" s="184">
        <f t="shared" si="263"/>
        <v>3000</v>
      </c>
      <c r="AH171" s="184">
        <f t="shared" si="263"/>
        <v>3000</v>
      </c>
      <c r="AI171" s="184">
        <f t="shared" si="263"/>
        <v>3000</v>
      </c>
      <c r="AJ171" s="184">
        <f t="shared" si="263"/>
        <v>3000</v>
      </c>
      <c r="AK171" s="184">
        <f t="shared" si="263"/>
        <v>3000</v>
      </c>
      <c r="AL171" s="184">
        <f t="shared" si="263"/>
        <v>3000</v>
      </c>
      <c r="AM171" s="184">
        <f t="shared" si="263"/>
        <v>3000</v>
      </c>
      <c r="AN171" s="184">
        <f t="shared" si="263"/>
        <v>3000</v>
      </c>
      <c r="AO171" s="184">
        <f>AS93</f>
        <v>3000</v>
      </c>
      <c r="AP171" s="184">
        <f t="shared" ref="AP171:AZ171" si="264">AO171</f>
        <v>3000</v>
      </c>
      <c r="AQ171" s="184">
        <f t="shared" si="264"/>
        <v>3000</v>
      </c>
      <c r="AR171" s="184">
        <f t="shared" si="264"/>
        <v>3000</v>
      </c>
      <c r="AS171" s="184">
        <f t="shared" si="264"/>
        <v>3000</v>
      </c>
      <c r="AT171" s="184">
        <f t="shared" si="264"/>
        <v>3000</v>
      </c>
      <c r="AU171" s="184">
        <f t="shared" si="264"/>
        <v>3000</v>
      </c>
      <c r="AV171" s="184">
        <f t="shared" si="264"/>
        <v>3000</v>
      </c>
      <c r="AW171" s="184">
        <f t="shared" si="264"/>
        <v>3000</v>
      </c>
      <c r="AX171" s="184">
        <f t="shared" si="264"/>
        <v>3000</v>
      </c>
      <c r="AY171" s="184">
        <f t="shared" si="264"/>
        <v>3000</v>
      </c>
      <c r="AZ171" s="184">
        <f t="shared" si="264"/>
        <v>3000</v>
      </c>
      <c r="BA171" s="184">
        <f>BE93</f>
        <v>3000</v>
      </c>
      <c r="BB171" s="184">
        <f t="shared" ref="BB171:BL171" si="265">BA171</f>
        <v>3000</v>
      </c>
      <c r="BC171" s="184">
        <f t="shared" si="265"/>
        <v>3000</v>
      </c>
      <c r="BD171" s="184">
        <f t="shared" si="265"/>
        <v>3000</v>
      </c>
      <c r="BE171" s="184">
        <f t="shared" si="265"/>
        <v>3000</v>
      </c>
      <c r="BF171" s="184">
        <f t="shared" si="265"/>
        <v>3000</v>
      </c>
      <c r="BG171" s="184">
        <f t="shared" si="265"/>
        <v>3000</v>
      </c>
      <c r="BH171" s="184">
        <f t="shared" si="265"/>
        <v>3000</v>
      </c>
      <c r="BI171" s="184">
        <f t="shared" si="265"/>
        <v>3000</v>
      </c>
      <c r="BJ171" s="184">
        <f t="shared" si="265"/>
        <v>3000</v>
      </c>
      <c r="BK171" s="184">
        <f t="shared" si="265"/>
        <v>3000</v>
      </c>
      <c r="BL171" s="184">
        <f t="shared" si="265"/>
        <v>3000</v>
      </c>
      <c r="BM171" s="184">
        <f>BQ93</f>
        <v>3000</v>
      </c>
      <c r="BN171" s="184">
        <f t="shared" ref="BN171:BX171" si="266">BM171</f>
        <v>3000</v>
      </c>
      <c r="BO171" s="184">
        <f t="shared" si="266"/>
        <v>3000</v>
      </c>
      <c r="BP171" s="184">
        <f t="shared" si="266"/>
        <v>3000</v>
      </c>
      <c r="BQ171" s="184">
        <f t="shared" si="266"/>
        <v>3000</v>
      </c>
      <c r="BR171" s="184">
        <f t="shared" si="266"/>
        <v>3000</v>
      </c>
      <c r="BS171" s="184">
        <f t="shared" si="266"/>
        <v>3000</v>
      </c>
      <c r="BT171" s="184">
        <f t="shared" si="266"/>
        <v>3000</v>
      </c>
      <c r="BU171" s="184">
        <f t="shared" si="266"/>
        <v>3000</v>
      </c>
      <c r="BV171" s="184">
        <f t="shared" si="266"/>
        <v>3000</v>
      </c>
      <c r="BW171" s="184">
        <f t="shared" si="266"/>
        <v>3000</v>
      </c>
      <c r="BX171" s="184">
        <f t="shared" si="266"/>
        <v>3000</v>
      </c>
      <c r="BY171" s="184">
        <f>CC93</f>
        <v>3000</v>
      </c>
      <c r="BZ171" s="184">
        <f t="shared" ref="BZ171:CJ171" si="267">BY171</f>
        <v>3000</v>
      </c>
      <c r="CA171" s="184">
        <f t="shared" si="267"/>
        <v>3000</v>
      </c>
      <c r="CB171" s="184">
        <f t="shared" si="267"/>
        <v>3000</v>
      </c>
      <c r="CC171" s="184">
        <f t="shared" si="267"/>
        <v>3000</v>
      </c>
      <c r="CD171" s="184">
        <f t="shared" si="267"/>
        <v>3000</v>
      </c>
      <c r="CE171" s="184">
        <f t="shared" si="267"/>
        <v>3000</v>
      </c>
      <c r="CF171" s="184">
        <f t="shared" si="267"/>
        <v>3000</v>
      </c>
      <c r="CG171" s="184">
        <f t="shared" si="267"/>
        <v>3000</v>
      </c>
      <c r="CH171" s="184">
        <f t="shared" si="267"/>
        <v>3000</v>
      </c>
      <c r="CI171" s="184">
        <f t="shared" si="267"/>
        <v>3000</v>
      </c>
      <c r="CJ171" s="184">
        <f t="shared" si="267"/>
        <v>3000</v>
      </c>
      <c r="CK171" s="184">
        <f>CO93</f>
        <v>3000</v>
      </c>
      <c r="CL171" s="184">
        <f t="shared" ref="CL171:CV171" si="268">CK171</f>
        <v>3000</v>
      </c>
      <c r="CM171" s="184">
        <f t="shared" si="268"/>
        <v>3000</v>
      </c>
      <c r="CN171" s="184">
        <f t="shared" si="268"/>
        <v>3000</v>
      </c>
      <c r="CO171" s="184">
        <f t="shared" si="268"/>
        <v>3000</v>
      </c>
      <c r="CP171" s="184">
        <f t="shared" si="268"/>
        <v>3000</v>
      </c>
      <c r="CQ171" s="184">
        <f t="shared" si="268"/>
        <v>3000</v>
      </c>
      <c r="CR171" s="184">
        <f t="shared" si="268"/>
        <v>3000</v>
      </c>
      <c r="CS171" s="184">
        <f t="shared" si="268"/>
        <v>3000</v>
      </c>
      <c r="CT171" s="184">
        <f t="shared" si="268"/>
        <v>3000</v>
      </c>
      <c r="CU171" s="184">
        <f t="shared" si="268"/>
        <v>3000</v>
      </c>
      <c r="CV171" s="184">
        <f t="shared" si="268"/>
        <v>3000</v>
      </c>
      <c r="CW171" s="184">
        <f>DA93</f>
        <v>3000</v>
      </c>
      <c r="CX171" s="184">
        <f t="shared" ref="CX171:DH171" si="269">CW171</f>
        <v>3000</v>
      </c>
      <c r="CY171" s="184">
        <f t="shared" si="269"/>
        <v>3000</v>
      </c>
      <c r="CZ171" s="184">
        <f t="shared" si="269"/>
        <v>3000</v>
      </c>
      <c r="DA171" s="184">
        <f t="shared" si="269"/>
        <v>3000</v>
      </c>
      <c r="DB171" s="184">
        <f t="shared" si="269"/>
        <v>3000</v>
      </c>
      <c r="DC171" s="184">
        <f t="shared" si="269"/>
        <v>3000</v>
      </c>
      <c r="DD171" s="184">
        <f t="shared" si="269"/>
        <v>3000</v>
      </c>
      <c r="DE171" s="184">
        <f t="shared" si="269"/>
        <v>3000</v>
      </c>
      <c r="DF171" s="184">
        <f t="shared" si="269"/>
        <v>3000</v>
      </c>
      <c r="DG171" s="184">
        <f t="shared" si="269"/>
        <v>3000</v>
      </c>
      <c r="DH171" s="184">
        <f t="shared" si="269"/>
        <v>3000</v>
      </c>
      <c r="DI171" s="184">
        <f>DM93</f>
        <v>3000</v>
      </c>
      <c r="DJ171" s="184">
        <f t="shared" ref="DJ171:DT171" si="270">DI171</f>
        <v>3000</v>
      </c>
      <c r="DK171" s="184">
        <f t="shared" si="270"/>
        <v>3000</v>
      </c>
      <c r="DL171" s="184">
        <f t="shared" si="270"/>
        <v>3000</v>
      </c>
      <c r="DM171" s="184">
        <f t="shared" si="270"/>
        <v>3000</v>
      </c>
      <c r="DN171" s="184">
        <f t="shared" si="270"/>
        <v>3000</v>
      </c>
      <c r="DO171" s="184">
        <f t="shared" si="270"/>
        <v>3000</v>
      </c>
      <c r="DP171" s="184">
        <f t="shared" si="270"/>
        <v>3000</v>
      </c>
      <c r="DQ171" s="184">
        <f t="shared" si="270"/>
        <v>3000</v>
      </c>
      <c r="DR171" s="184">
        <f t="shared" si="270"/>
        <v>3000</v>
      </c>
      <c r="DS171" s="184">
        <f t="shared" si="270"/>
        <v>3000</v>
      </c>
      <c r="DT171" s="184">
        <f t="shared" si="270"/>
        <v>3000</v>
      </c>
    </row>
    <row r="172" spans="1:124" x14ac:dyDescent="0.25">
      <c r="B172" s="824"/>
      <c r="C172" s="826"/>
      <c r="D172" s="438" t="s">
        <v>270</v>
      </c>
      <c r="E172" s="184"/>
      <c r="F172" s="184"/>
      <c r="G172" s="184"/>
      <c r="H172" s="184"/>
      <c r="I172" s="184"/>
      <c r="J172" s="184"/>
      <c r="K172" s="184">
        <f>J171/2</f>
        <v>750</v>
      </c>
      <c r="L172" s="184"/>
      <c r="M172" s="184"/>
      <c r="N172" s="184"/>
      <c r="O172" s="184"/>
      <c r="P172" s="184">
        <f>O171/2</f>
        <v>750</v>
      </c>
      <c r="Q172" s="184"/>
      <c r="R172" s="184"/>
      <c r="S172" s="184"/>
      <c r="T172" s="184"/>
      <c r="U172" s="184"/>
      <c r="V172" s="184"/>
      <c r="W172" s="184">
        <f>V171/2</f>
        <v>1500</v>
      </c>
      <c r="X172" s="184"/>
      <c r="Y172" s="184"/>
      <c r="Z172" s="184"/>
      <c r="AA172" s="184"/>
      <c r="AB172" s="184">
        <f>AA171/2</f>
        <v>1500</v>
      </c>
      <c r="AC172" s="184"/>
      <c r="AD172" s="184"/>
      <c r="AE172" s="184"/>
      <c r="AF172" s="184"/>
      <c r="AG172" s="184"/>
      <c r="AH172" s="184"/>
      <c r="AI172" s="184">
        <f>AH171/2</f>
        <v>1500</v>
      </c>
      <c r="AJ172" s="184"/>
      <c r="AK172" s="184"/>
      <c r="AL172" s="184"/>
      <c r="AM172" s="184"/>
      <c r="AN172" s="184">
        <f>AM171/2</f>
        <v>1500</v>
      </c>
      <c r="AO172" s="184"/>
      <c r="AP172" s="184"/>
      <c r="AQ172" s="184"/>
      <c r="AR172" s="184"/>
      <c r="AS172" s="184"/>
      <c r="AT172" s="184"/>
      <c r="AU172" s="184">
        <f>AT171/2</f>
        <v>1500</v>
      </c>
      <c r="AV172" s="184"/>
      <c r="AW172" s="184"/>
      <c r="AX172" s="184"/>
      <c r="AY172" s="184"/>
      <c r="AZ172" s="184">
        <f>AY171/2</f>
        <v>1500</v>
      </c>
      <c r="BA172" s="184"/>
      <c r="BB172" s="184"/>
      <c r="BC172" s="184"/>
      <c r="BD172" s="184"/>
      <c r="BE172" s="184"/>
      <c r="BF172" s="184"/>
      <c r="BG172" s="184">
        <f>BF171/2</f>
        <v>1500</v>
      </c>
      <c r="BH172" s="184"/>
      <c r="BI172" s="184"/>
      <c r="BJ172" s="184"/>
      <c r="BK172" s="184"/>
      <c r="BL172" s="184">
        <f>BK171/2</f>
        <v>1500</v>
      </c>
      <c r="BM172" s="184"/>
      <c r="BN172" s="184"/>
      <c r="BO172" s="184"/>
      <c r="BP172" s="184"/>
      <c r="BQ172" s="184"/>
      <c r="BR172" s="184"/>
      <c r="BS172" s="184">
        <f>BR171/2</f>
        <v>1500</v>
      </c>
      <c r="BT172" s="184"/>
      <c r="BU172" s="184"/>
      <c r="BV172" s="184"/>
      <c r="BW172" s="184"/>
      <c r="BX172" s="184">
        <f>BW171/2</f>
        <v>1500</v>
      </c>
      <c r="BY172" s="184"/>
      <c r="BZ172" s="184"/>
      <c r="CA172" s="184"/>
      <c r="CB172" s="184"/>
      <c r="CC172" s="184"/>
      <c r="CD172" s="184"/>
      <c r="CE172" s="184">
        <f>CD171/2</f>
        <v>1500</v>
      </c>
      <c r="CF172" s="184"/>
      <c r="CG172" s="184"/>
      <c r="CH172" s="184"/>
      <c r="CI172" s="184"/>
      <c r="CJ172" s="184">
        <f>CI171/2</f>
        <v>1500</v>
      </c>
      <c r="CK172" s="184"/>
      <c r="CL172" s="184"/>
      <c r="CM172" s="184"/>
      <c r="CN172" s="184"/>
      <c r="CO172" s="184"/>
      <c r="CP172" s="184"/>
      <c r="CQ172" s="184">
        <f>CP171/2</f>
        <v>1500</v>
      </c>
      <c r="CR172" s="184"/>
      <c r="CS172" s="184"/>
      <c r="CT172" s="184"/>
      <c r="CU172" s="184"/>
      <c r="CV172" s="184">
        <f>CU171/2</f>
        <v>1500</v>
      </c>
      <c r="CW172" s="184"/>
      <c r="CX172" s="184"/>
      <c r="CY172" s="184"/>
      <c r="CZ172" s="184"/>
      <c r="DA172" s="184"/>
      <c r="DB172" s="184"/>
      <c r="DC172" s="184">
        <f>DB171/2</f>
        <v>1500</v>
      </c>
      <c r="DD172" s="184"/>
      <c r="DE172" s="184"/>
      <c r="DF172" s="184"/>
      <c r="DG172" s="184"/>
      <c r="DH172" s="184">
        <f>DG171/2</f>
        <v>1500</v>
      </c>
      <c r="DI172" s="184"/>
      <c r="DJ172" s="184"/>
      <c r="DK172" s="184"/>
      <c r="DL172" s="184"/>
      <c r="DM172" s="184"/>
      <c r="DN172" s="184"/>
      <c r="DO172" s="184">
        <f>DN171/2</f>
        <v>1500</v>
      </c>
      <c r="DP172" s="184"/>
      <c r="DQ172" s="184"/>
      <c r="DR172" s="184"/>
      <c r="DS172" s="184"/>
      <c r="DT172" s="184">
        <f>DS171/2</f>
        <v>1500</v>
      </c>
    </row>
    <row r="173" spans="1:124" x14ac:dyDescent="0.25">
      <c r="B173" s="824"/>
      <c r="C173" s="826"/>
      <c r="D173" s="438" t="s">
        <v>272</v>
      </c>
      <c r="E173" s="184">
        <f t="shared" ref="E173:BP173" si="271">E171*9%</f>
        <v>135</v>
      </c>
      <c r="F173" s="184">
        <f t="shared" si="271"/>
        <v>135</v>
      </c>
      <c r="G173" s="184">
        <f t="shared" si="271"/>
        <v>135</v>
      </c>
      <c r="H173" s="184">
        <f t="shared" si="271"/>
        <v>135</v>
      </c>
      <c r="I173" s="184">
        <f t="shared" si="271"/>
        <v>135</v>
      </c>
      <c r="J173" s="184">
        <f t="shared" si="271"/>
        <v>135</v>
      </c>
      <c r="K173" s="184">
        <f t="shared" si="271"/>
        <v>135</v>
      </c>
      <c r="L173" s="184">
        <f t="shared" si="271"/>
        <v>135</v>
      </c>
      <c r="M173" s="184">
        <f t="shared" si="271"/>
        <v>135</v>
      </c>
      <c r="N173" s="184">
        <f t="shared" si="271"/>
        <v>135</v>
      </c>
      <c r="O173" s="184">
        <f t="shared" si="271"/>
        <v>135</v>
      </c>
      <c r="P173" s="184">
        <f t="shared" si="271"/>
        <v>135</v>
      </c>
      <c r="Q173" s="184">
        <f t="shared" si="271"/>
        <v>270</v>
      </c>
      <c r="R173" s="184">
        <f t="shared" si="271"/>
        <v>270</v>
      </c>
      <c r="S173" s="184">
        <f t="shared" si="271"/>
        <v>270</v>
      </c>
      <c r="T173" s="184">
        <f t="shared" si="271"/>
        <v>270</v>
      </c>
      <c r="U173" s="184">
        <f t="shared" si="271"/>
        <v>270</v>
      </c>
      <c r="V173" s="184">
        <f t="shared" si="271"/>
        <v>270</v>
      </c>
      <c r="W173" s="184">
        <f t="shared" si="271"/>
        <v>270</v>
      </c>
      <c r="X173" s="184">
        <f t="shared" si="271"/>
        <v>270</v>
      </c>
      <c r="Y173" s="184">
        <f t="shared" si="271"/>
        <v>270</v>
      </c>
      <c r="Z173" s="184">
        <f t="shared" si="271"/>
        <v>270</v>
      </c>
      <c r="AA173" s="184">
        <f t="shared" si="271"/>
        <v>270</v>
      </c>
      <c r="AB173" s="184">
        <f t="shared" si="271"/>
        <v>270</v>
      </c>
      <c r="AC173" s="184">
        <f t="shared" si="271"/>
        <v>270</v>
      </c>
      <c r="AD173" s="184">
        <f t="shared" si="271"/>
        <v>270</v>
      </c>
      <c r="AE173" s="184">
        <f t="shared" si="271"/>
        <v>270</v>
      </c>
      <c r="AF173" s="184">
        <f t="shared" si="271"/>
        <v>270</v>
      </c>
      <c r="AG173" s="184">
        <f t="shared" si="271"/>
        <v>270</v>
      </c>
      <c r="AH173" s="184">
        <f t="shared" si="271"/>
        <v>270</v>
      </c>
      <c r="AI173" s="184">
        <f t="shared" si="271"/>
        <v>270</v>
      </c>
      <c r="AJ173" s="184">
        <f t="shared" si="271"/>
        <v>270</v>
      </c>
      <c r="AK173" s="184">
        <f t="shared" si="271"/>
        <v>270</v>
      </c>
      <c r="AL173" s="184">
        <f t="shared" si="271"/>
        <v>270</v>
      </c>
      <c r="AM173" s="184">
        <f t="shared" si="271"/>
        <v>270</v>
      </c>
      <c r="AN173" s="184">
        <f t="shared" si="271"/>
        <v>270</v>
      </c>
      <c r="AO173" s="184">
        <f t="shared" si="271"/>
        <v>270</v>
      </c>
      <c r="AP173" s="184">
        <f t="shared" si="271"/>
        <v>270</v>
      </c>
      <c r="AQ173" s="184">
        <f t="shared" si="271"/>
        <v>270</v>
      </c>
      <c r="AR173" s="184">
        <f t="shared" si="271"/>
        <v>270</v>
      </c>
      <c r="AS173" s="184">
        <f t="shared" si="271"/>
        <v>270</v>
      </c>
      <c r="AT173" s="184">
        <f t="shared" si="271"/>
        <v>270</v>
      </c>
      <c r="AU173" s="184">
        <f t="shared" si="271"/>
        <v>270</v>
      </c>
      <c r="AV173" s="184">
        <f t="shared" si="271"/>
        <v>270</v>
      </c>
      <c r="AW173" s="184">
        <f t="shared" si="271"/>
        <v>270</v>
      </c>
      <c r="AX173" s="184">
        <f t="shared" si="271"/>
        <v>270</v>
      </c>
      <c r="AY173" s="184">
        <f t="shared" si="271"/>
        <v>270</v>
      </c>
      <c r="AZ173" s="184">
        <f t="shared" si="271"/>
        <v>270</v>
      </c>
      <c r="BA173" s="184">
        <f t="shared" si="271"/>
        <v>270</v>
      </c>
      <c r="BB173" s="184">
        <f t="shared" si="271"/>
        <v>270</v>
      </c>
      <c r="BC173" s="184">
        <f t="shared" si="271"/>
        <v>270</v>
      </c>
      <c r="BD173" s="184">
        <f t="shared" si="271"/>
        <v>270</v>
      </c>
      <c r="BE173" s="184">
        <f t="shared" si="271"/>
        <v>270</v>
      </c>
      <c r="BF173" s="184">
        <f t="shared" si="271"/>
        <v>270</v>
      </c>
      <c r="BG173" s="184">
        <f t="shared" si="271"/>
        <v>270</v>
      </c>
      <c r="BH173" s="184">
        <f t="shared" si="271"/>
        <v>270</v>
      </c>
      <c r="BI173" s="184">
        <f t="shared" si="271"/>
        <v>270</v>
      </c>
      <c r="BJ173" s="184">
        <f t="shared" si="271"/>
        <v>270</v>
      </c>
      <c r="BK173" s="184">
        <f t="shared" si="271"/>
        <v>270</v>
      </c>
      <c r="BL173" s="184">
        <f t="shared" si="271"/>
        <v>270</v>
      </c>
      <c r="BM173" s="184">
        <f t="shared" si="271"/>
        <v>270</v>
      </c>
      <c r="BN173" s="184">
        <f t="shared" si="271"/>
        <v>270</v>
      </c>
      <c r="BO173" s="184">
        <f t="shared" si="271"/>
        <v>270</v>
      </c>
      <c r="BP173" s="184">
        <f t="shared" si="271"/>
        <v>270</v>
      </c>
      <c r="BQ173" s="184">
        <f t="shared" ref="BQ173:DT173" si="272">BQ171*9%</f>
        <v>270</v>
      </c>
      <c r="BR173" s="184">
        <f t="shared" si="272"/>
        <v>270</v>
      </c>
      <c r="BS173" s="184">
        <f t="shared" si="272"/>
        <v>270</v>
      </c>
      <c r="BT173" s="184">
        <f t="shared" si="272"/>
        <v>270</v>
      </c>
      <c r="BU173" s="184">
        <f t="shared" si="272"/>
        <v>270</v>
      </c>
      <c r="BV173" s="184">
        <f t="shared" si="272"/>
        <v>270</v>
      </c>
      <c r="BW173" s="184">
        <f t="shared" si="272"/>
        <v>270</v>
      </c>
      <c r="BX173" s="184">
        <f t="shared" si="272"/>
        <v>270</v>
      </c>
      <c r="BY173" s="184">
        <f t="shared" si="272"/>
        <v>270</v>
      </c>
      <c r="BZ173" s="184">
        <f t="shared" si="272"/>
        <v>270</v>
      </c>
      <c r="CA173" s="184">
        <f t="shared" si="272"/>
        <v>270</v>
      </c>
      <c r="CB173" s="184">
        <f t="shared" si="272"/>
        <v>270</v>
      </c>
      <c r="CC173" s="184">
        <f t="shared" si="272"/>
        <v>270</v>
      </c>
      <c r="CD173" s="184">
        <f t="shared" si="272"/>
        <v>270</v>
      </c>
      <c r="CE173" s="184">
        <f t="shared" si="272"/>
        <v>270</v>
      </c>
      <c r="CF173" s="184">
        <f t="shared" si="272"/>
        <v>270</v>
      </c>
      <c r="CG173" s="184">
        <f t="shared" si="272"/>
        <v>270</v>
      </c>
      <c r="CH173" s="184">
        <f t="shared" si="272"/>
        <v>270</v>
      </c>
      <c r="CI173" s="184">
        <f t="shared" si="272"/>
        <v>270</v>
      </c>
      <c r="CJ173" s="184">
        <f t="shared" si="272"/>
        <v>270</v>
      </c>
      <c r="CK173" s="184">
        <f t="shared" si="272"/>
        <v>270</v>
      </c>
      <c r="CL173" s="184">
        <f t="shared" si="272"/>
        <v>270</v>
      </c>
      <c r="CM173" s="184">
        <f t="shared" si="272"/>
        <v>270</v>
      </c>
      <c r="CN173" s="184">
        <f t="shared" si="272"/>
        <v>270</v>
      </c>
      <c r="CO173" s="184">
        <f t="shared" si="272"/>
        <v>270</v>
      </c>
      <c r="CP173" s="184">
        <f t="shared" si="272"/>
        <v>270</v>
      </c>
      <c r="CQ173" s="184">
        <f t="shared" si="272"/>
        <v>270</v>
      </c>
      <c r="CR173" s="184">
        <f t="shared" si="272"/>
        <v>270</v>
      </c>
      <c r="CS173" s="184">
        <f t="shared" si="272"/>
        <v>270</v>
      </c>
      <c r="CT173" s="184">
        <f t="shared" si="272"/>
        <v>270</v>
      </c>
      <c r="CU173" s="184">
        <f t="shared" si="272"/>
        <v>270</v>
      </c>
      <c r="CV173" s="184">
        <f t="shared" si="272"/>
        <v>270</v>
      </c>
      <c r="CW173" s="184">
        <f t="shared" si="272"/>
        <v>270</v>
      </c>
      <c r="CX173" s="184">
        <f t="shared" si="272"/>
        <v>270</v>
      </c>
      <c r="CY173" s="184">
        <f t="shared" si="272"/>
        <v>270</v>
      </c>
      <c r="CZ173" s="184">
        <f t="shared" si="272"/>
        <v>270</v>
      </c>
      <c r="DA173" s="184">
        <f t="shared" si="272"/>
        <v>270</v>
      </c>
      <c r="DB173" s="184">
        <f t="shared" si="272"/>
        <v>270</v>
      </c>
      <c r="DC173" s="184">
        <f t="shared" si="272"/>
        <v>270</v>
      </c>
      <c r="DD173" s="184">
        <f t="shared" si="272"/>
        <v>270</v>
      </c>
      <c r="DE173" s="184">
        <f t="shared" si="272"/>
        <v>270</v>
      </c>
      <c r="DF173" s="184">
        <f t="shared" si="272"/>
        <v>270</v>
      </c>
      <c r="DG173" s="184">
        <f t="shared" si="272"/>
        <v>270</v>
      </c>
      <c r="DH173" s="184">
        <f t="shared" si="272"/>
        <v>270</v>
      </c>
      <c r="DI173" s="184">
        <f t="shared" si="272"/>
        <v>270</v>
      </c>
      <c r="DJ173" s="184">
        <f t="shared" si="272"/>
        <v>270</v>
      </c>
      <c r="DK173" s="184">
        <f t="shared" si="272"/>
        <v>270</v>
      </c>
      <c r="DL173" s="184">
        <f t="shared" si="272"/>
        <v>270</v>
      </c>
      <c r="DM173" s="184">
        <f t="shared" si="272"/>
        <v>270</v>
      </c>
      <c r="DN173" s="184">
        <f t="shared" si="272"/>
        <v>270</v>
      </c>
      <c r="DO173" s="184">
        <f t="shared" si="272"/>
        <v>270</v>
      </c>
      <c r="DP173" s="184">
        <f t="shared" si="272"/>
        <v>270</v>
      </c>
      <c r="DQ173" s="184">
        <f t="shared" si="272"/>
        <v>270</v>
      </c>
      <c r="DR173" s="184">
        <f t="shared" si="272"/>
        <v>270</v>
      </c>
      <c r="DS173" s="184">
        <f t="shared" si="272"/>
        <v>270</v>
      </c>
      <c r="DT173" s="184">
        <f t="shared" si="272"/>
        <v>270</v>
      </c>
    </row>
    <row r="174" spans="1:124" x14ac:dyDescent="0.25">
      <c r="B174" s="829"/>
      <c r="C174" s="827"/>
      <c r="D174" s="481" t="s">
        <v>273</v>
      </c>
      <c r="E174" s="454">
        <f t="shared" ref="E174:BP174" si="273">SUM(E171:E173)</f>
        <v>1635</v>
      </c>
      <c r="F174" s="454">
        <f t="shared" si="273"/>
        <v>1635</v>
      </c>
      <c r="G174" s="454">
        <f t="shared" si="273"/>
        <v>1635</v>
      </c>
      <c r="H174" s="454">
        <f t="shared" si="273"/>
        <v>1635</v>
      </c>
      <c r="I174" s="454">
        <f t="shared" si="273"/>
        <v>1635</v>
      </c>
      <c r="J174" s="454">
        <f t="shared" si="273"/>
        <v>1635</v>
      </c>
      <c r="K174" s="454">
        <f t="shared" si="273"/>
        <v>2385</v>
      </c>
      <c r="L174" s="454">
        <f t="shared" si="273"/>
        <v>1635</v>
      </c>
      <c r="M174" s="454">
        <f t="shared" si="273"/>
        <v>1635</v>
      </c>
      <c r="N174" s="454">
        <f t="shared" si="273"/>
        <v>1635</v>
      </c>
      <c r="O174" s="454">
        <f t="shared" si="273"/>
        <v>1635</v>
      </c>
      <c r="P174" s="454">
        <f t="shared" si="273"/>
        <v>2385</v>
      </c>
      <c r="Q174" s="454">
        <f>SUM(Q171:Q173)</f>
        <v>3270</v>
      </c>
      <c r="R174" s="454">
        <f t="shared" si="273"/>
        <v>3270</v>
      </c>
      <c r="S174" s="454">
        <f t="shared" si="273"/>
        <v>3270</v>
      </c>
      <c r="T174" s="454">
        <f t="shared" si="273"/>
        <v>3270</v>
      </c>
      <c r="U174" s="454">
        <f t="shared" si="273"/>
        <v>3270</v>
      </c>
      <c r="V174" s="454">
        <f t="shared" si="273"/>
        <v>3270</v>
      </c>
      <c r="W174" s="454">
        <f t="shared" si="273"/>
        <v>4770</v>
      </c>
      <c r="X174" s="454">
        <f t="shared" si="273"/>
        <v>3270</v>
      </c>
      <c r="Y174" s="454">
        <f t="shared" si="273"/>
        <v>3270</v>
      </c>
      <c r="Z174" s="454">
        <f t="shared" si="273"/>
        <v>3270</v>
      </c>
      <c r="AA174" s="454">
        <f t="shared" si="273"/>
        <v>3270</v>
      </c>
      <c r="AB174" s="454">
        <f t="shared" si="273"/>
        <v>4770</v>
      </c>
      <c r="AC174" s="454">
        <f t="shared" si="273"/>
        <v>3270</v>
      </c>
      <c r="AD174" s="454">
        <f t="shared" si="273"/>
        <v>3270</v>
      </c>
      <c r="AE174" s="454">
        <f t="shared" si="273"/>
        <v>3270</v>
      </c>
      <c r="AF174" s="454">
        <f t="shared" si="273"/>
        <v>3270</v>
      </c>
      <c r="AG174" s="454">
        <f t="shared" si="273"/>
        <v>3270</v>
      </c>
      <c r="AH174" s="454">
        <f t="shared" si="273"/>
        <v>3270</v>
      </c>
      <c r="AI174" s="454">
        <f t="shared" si="273"/>
        <v>4770</v>
      </c>
      <c r="AJ174" s="454">
        <f t="shared" si="273"/>
        <v>3270</v>
      </c>
      <c r="AK174" s="454">
        <f t="shared" si="273"/>
        <v>3270</v>
      </c>
      <c r="AL174" s="454">
        <f t="shared" si="273"/>
        <v>3270</v>
      </c>
      <c r="AM174" s="454">
        <f t="shared" si="273"/>
        <v>3270</v>
      </c>
      <c r="AN174" s="454">
        <f t="shared" si="273"/>
        <v>4770</v>
      </c>
      <c r="AO174" s="454">
        <f t="shared" si="273"/>
        <v>3270</v>
      </c>
      <c r="AP174" s="454">
        <f t="shared" si="273"/>
        <v>3270</v>
      </c>
      <c r="AQ174" s="454">
        <f t="shared" si="273"/>
        <v>3270</v>
      </c>
      <c r="AR174" s="454">
        <f t="shared" si="273"/>
        <v>3270</v>
      </c>
      <c r="AS174" s="454">
        <f t="shared" si="273"/>
        <v>3270</v>
      </c>
      <c r="AT174" s="454">
        <f t="shared" si="273"/>
        <v>3270</v>
      </c>
      <c r="AU174" s="454">
        <f t="shared" si="273"/>
        <v>4770</v>
      </c>
      <c r="AV174" s="454">
        <f t="shared" si="273"/>
        <v>3270</v>
      </c>
      <c r="AW174" s="454">
        <f t="shared" si="273"/>
        <v>3270</v>
      </c>
      <c r="AX174" s="454">
        <f t="shared" si="273"/>
        <v>3270</v>
      </c>
      <c r="AY174" s="454">
        <f t="shared" si="273"/>
        <v>3270</v>
      </c>
      <c r="AZ174" s="454">
        <f t="shared" si="273"/>
        <v>4770</v>
      </c>
      <c r="BA174" s="454">
        <f t="shared" si="273"/>
        <v>3270</v>
      </c>
      <c r="BB174" s="454">
        <f t="shared" si="273"/>
        <v>3270</v>
      </c>
      <c r="BC174" s="454">
        <f t="shared" si="273"/>
        <v>3270</v>
      </c>
      <c r="BD174" s="454">
        <f t="shared" si="273"/>
        <v>3270</v>
      </c>
      <c r="BE174" s="454">
        <f t="shared" si="273"/>
        <v>3270</v>
      </c>
      <c r="BF174" s="454">
        <f t="shared" si="273"/>
        <v>3270</v>
      </c>
      <c r="BG174" s="454">
        <f t="shared" si="273"/>
        <v>4770</v>
      </c>
      <c r="BH174" s="454">
        <f t="shared" si="273"/>
        <v>3270</v>
      </c>
      <c r="BI174" s="454">
        <f t="shared" si="273"/>
        <v>3270</v>
      </c>
      <c r="BJ174" s="454">
        <f t="shared" si="273"/>
        <v>3270</v>
      </c>
      <c r="BK174" s="454">
        <f t="shared" si="273"/>
        <v>3270</v>
      </c>
      <c r="BL174" s="454">
        <f t="shared" si="273"/>
        <v>4770</v>
      </c>
      <c r="BM174" s="454">
        <f t="shared" si="273"/>
        <v>3270</v>
      </c>
      <c r="BN174" s="454">
        <f t="shared" si="273"/>
        <v>3270</v>
      </c>
      <c r="BO174" s="454">
        <f t="shared" si="273"/>
        <v>3270</v>
      </c>
      <c r="BP174" s="454">
        <f t="shared" si="273"/>
        <v>3270</v>
      </c>
      <c r="BQ174" s="454">
        <f t="shared" ref="BQ174:DT174" si="274">SUM(BQ171:BQ173)</f>
        <v>3270</v>
      </c>
      <c r="BR174" s="454">
        <f t="shared" si="274"/>
        <v>3270</v>
      </c>
      <c r="BS174" s="454">
        <f t="shared" si="274"/>
        <v>4770</v>
      </c>
      <c r="BT174" s="454">
        <f t="shared" si="274"/>
        <v>3270</v>
      </c>
      <c r="BU174" s="454">
        <f t="shared" si="274"/>
        <v>3270</v>
      </c>
      <c r="BV174" s="454">
        <f t="shared" si="274"/>
        <v>3270</v>
      </c>
      <c r="BW174" s="454">
        <f t="shared" si="274"/>
        <v>3270</v>
      </c>
      <c r="BX174" s="454">
        <f t="shared" si="274"/>
        <v>4770</v>
      </c>
      <c r="BY174" s="454">
        <f t="shared" si="274"/>
        <v>3270</v>
      </c>
      <c r="BZ174" s="454">
        <f t="shared" si="274"/>
        <v>3270</v>
      </c>
      <c r="CA174" s="454">
        <f t="shared" si="274"/>
        <v>3270</v>
      </c>
      <c r="CB174" s="454">
        <f t="shared" si="274"/>
        <v>3270</v>
      </c>
      <c r="CC174" s="454">
        <f t="shared" si="274"/>
        <v>3270</v>
      </c>
      <c r="CD174" s="454">
        <f t="shared" si="274"/>
        <v>3270</v>
      </c>
      <c r="CE174" s="454">
        <f t="shared" si="274"/>
        <v>4770</v>
      </c>
      <c r="CF174" s="454">
        <f t="shared" si="274"/>
        <v>3270</v>
      </c>
      <c r="CG174" s="454">
        <f t="shared" si="274"/>
        <v>3270</v>
      </c>
      <c r="CH174" s="454">
        <f t="shared" si="274"/>
        <v>3270</v>
      </c>
      <c r="CI174" s="454">
        <f t="shared" si="274"/>
        <v>3270</v>
      </c>
      <c r="CJ174" s="454">
        <f t="shared" si="274"/>
        <v>4770</v>
      </c>
      <c r="CK174" s="454">
        <f t="shared" si="274"/>
        <v>3270</v>
      </c>
      <c r="CL174" s="454">
        <f t="shared" si="274"/>
        <v>3270</v>
      </c>
      <c r="CM174" s="454">
        <f t="shared" si="274"/>
        <v>3270</v>
      </c>
      <c r="CN174" s="454">
        <f t="shared" si="274"/>
        <v>3270</v>
      </c>
      <c r="CO174" s="454">
        <f t="shared" si="274"/>
        <v>3270</v>
      </c>
      <c r="CP174" s="454">
        <f t="shared" si="274"/>
        <v>3270</v>
      </c>
      <c r="CQ174" s="454">
        <f t="shared" si="274"/>
        <v>4770</v>
      </c>
      <c r="CR174" s="454">
        <f t="shared" si="274"/>
        <v>3270</v>
      </c>
      <c r="CS174" s="454">
        <f t="shared" si="274"/>
        <v>3270</v>
      </c>
      <c r="CT174" s="454">
        <f t="shared" si="274"/>
        <v>3270</v>
      </c>
      <c r="CU174" s="454">
        <f t="shared" si="274"/>
        <v>3270</v>
      </c>
      <c r="CV174" s="454">
        <f t="shared" si="274"/>
        <v>4770</v>
      </c>
      <c r="CW174" s="454">
        <f t="shared" si="274"/>
        <v>3270</v>
      </c>
      <c r="CX174" s="454">
        <f t="shared" si="274"/>
        <v>3270</v>
      </c>
      <c r="CY174" s="454">
        <f t="shared" si="274"/>
        <v>3270</v>
      </c>
      <c r="CZ174" s="454">
        <f t="shared" si="274"/>
        <v>3270</v>
      </c>
      <c r="DA174" s="454">
        <f t="shared" si="274"/>
        <v>3270</v>
      </c>
      <c r="DB174" s="454">
        <f t="shared" si="274"/>
        <v>3270</v>
      </c>
      <c r="DC174" s="454">
        <f t="shared" si="274"/>
        <v>4770</v>
      </c>
      <c r="DD174" s="454">
        <f t="shared" si="274"/>
        <v>3270</v>
      </c>
      <c r="DE174" s="454">
        <f t="shared" si="274"/>
        <v>3270</v>
      </c>
      <c r="DF174" s="454">
        <f t="shared" si="274"/>
        <v>3270</v>
      </c>
      <c r="DG174" s="454">
        <f t="shared" si="274"/>
        <v>3270</v>
      </c>
      <c r="DH174" s="454">
        <f t="shared" si="274"/>
        <v>4770</v>
      </c>
      <c r="DI174" s="454">
        <f t="shared" si="274"/>
        <v>3270</v>
      </c>
      <c r="DJ174" s="454">
        <f t="shared" si="274"/>
        <v>3270</v>
      </c>
      <c r="DK174" s="454">
        <f t="shared" si="274"/>
        <v>3270</v>
      </c>
      <c r="DL174" s="454">
        <f t="shared" si="274"/>
        <v>3270</v>
      </c>
      <c r="DM174" s="454">
        <f t="shared" si="274"/>
        <v>3270</v>
      </c>
      <c r="DN174" s="454">
        <f t="shared" si="274"/>
        <v>3270</v>
      </c>
      <c r="DO174" s="454">
        <f t="shared" si="274"/>
        <v>4770</v>
      </c>
      <c r="DP174" s="454">
        <f t="shared" si="274"/>
        <v>3270</v>
      </c>
      <c r="DQ174" s="454">
        <f t="shared" si="274"/>
        <v>3270</v>
      </c>
      <c r="DR174" s="454">
        <f t="shared" si="274"/>
        <v>3270</v>
      </c>
      <c r="DS174" s="454">
        <f t="shared" si="274"/>
        <v>3270</v>
      </c>
      <c r="DT174" s="454">
        <f t="shared" si="274"/>
        <v>4770</v>
      </c>
    </row>
    <row r="175" spans="1:124" s="190" customFormat="1" x14ac:dyDescent="0.25">
      <c r="D175" s="12" t="s">
        <v>542</v>
      </c>
      <c r="E175" s="12">
        <f>E106+E112+E118+E126+E132+E146+E152+E156+E162+E166+E170+E174+E140</f>
        <v>37701.092363315664</v>
      </c>
      <c r="F175" s="12">
        <f t="shared" ref="F175:Q175" si="275">F106+F112+F118+F126+F132+F146+F152+F156+F162+F166+F170+F174+F140</f>
        <v>37745.241344177703</v>
      </c>
      <c r="G175" s="12">
        <f t="shared" si="275"/>
        <v>37784.654585706478</v>
      </c>
      <c r="H175" s="12">
        <f t="shared" si="275"/>
        <v>37724.392568318362</v>
      </c>
      <c r="I175" s="12">
        <f t="shared" si="275"/>
        <v>46030.607439673055</v>
      </c>
      <c r="J175" s="12">
        <f t="shared" si="275"/>
        <v>37795.005454584214</v>
      </c>
      <c r="K175" s="12">
        <f t="shared" si="275"/>
        <v>57224.802667019168</v>
      </c>
      <c r="L175" s="12">
        <f t="shared" si="275"/>
        <v>37831.440514951508</v>
      </c>
      <c r="M175" s="12">
        <f t="shared" si="275"/>
        <v>37840.760646301635</v>
      </c>
      <c r="N175" s="12">
        <f t="shared" si="275"/>
        <v>37823.792030723125</v>
      </c>
      <c r="O175" s="12">
        <f t="shared" si="275"/>
        <v>47111.294554348693</v>
      </c>
      <c r="P175" s="12">
        <f t="shared" si="275"/>
        <v>58551.627281733345</v>
      </c>
      <c r="Q175" s="12">
        <f t="shared" si="275"/>
        <v>51285.820846336828</v>
      </c>
      <c r="R175" s="12">
        <f t="shared" ref="R175:AW175" si="276">R106+R112+R118+R126+R132+R146+R152+R156+R162+R166+R170+R174+R140</f>
        <v>39497.699087825371</v>
      </c>
      <c r="S175" s="12">
        <f t="shared" si="276"/>
        <v>39427.341198099813</v>
      </c>
      <c r="T175" s="12">
        <f t="shared" si="276"/>
        <v>39375.828468439715</v>
      </c>
      <c r="U175" s="12">
        <f t="shared" si="276"/>
        <v>51039.255321281249</v>
      </c>
      <c r="V175" s="12">
        <f t="shared" si="276"/>
        <v>39416.030859770406</v>
      </c>
      <c r="W175" s="12">
        <f t="shared" si="276"/>
        <v>62008.267417932882</v>
      </c>
      <c r="X175" s="12">
        <f t="shared" si="276"/>
        <v>42161.619379535296</v>
      </c>
      <c r="Y175" s="12">
        <f t="shared" si="276"/>
        <v>39491.165343130495</v>
      </c>
      <c r="Z175" s="12">
        <f t="shared" si="276"/>
        <v>39468.422400865755</v>
      </c>
      <c r="AA175" s="12">
        <f t="shared" si="276"/>
        <v>51199.878368168153</v>
      </c>
      <c r="AB175" s="12">
        <f t="shared" si="276"/>
        <v>62181.682190617772</v>
      </c>
      <c r="AC175" s="12">
        <f t="shared" si="276"/>
        <v>52293.607385723277</v>
      </c>
      <c r="AD175" s="12">
        <f t="shared" si="276"/>
        <v>40499.663812084211</v>
      </c>
      <c r="AE175" s="12">
        <f t="shared" si="276"/>
        <v>40427.071091251855</v>
      </c>
      <c r="AF175" s="12">
        <f t="shared" si="276"/>
        <v>40373.966461230491</v>
      </c>
      <c r="AG175" s="12">
        <f t="shared" si="276"/>
        <v>52144.143524188687</v>
      </c>
      <c r="AH175" s="12">
        <f t="shared" si="276"/>
        <v>40416.983019954336</v>
      </c>
      <c r="AI175" s="12">
        <f t="shared" si="276"/>
        <v>63684.862947445545</v>
      </c>
      <c r="AJ175" s="12">
        <f t="shared" si="276"/>
        <v>43264.110020567517</v>
      </c>
      <c r="AK175" s="12">
        <f t="shared" si="276"/>
        <v>40497.376917149624</v>
      </c>
      <c r="AL175" s="12">
        <f t="shared" si="276"/>
        <v>40473.041968926358</v>
      </c>
      <c r="AM175" s="12">
        <f t="shared" si="276"/>
        <v>53823.366520606593</v>
      </c>
      <c r="AN175" s="12">
        <f t="shared" si="276"/>
        <v>63885.729943961021</v>
      </c>
      <c r="AO175" s="12">
        <f t="shared" si="276"/>
        <v>53686.319902723895</v>
      </c>
      <c r="AP175" s="12">
        <f t="shared" si="276"/>
        <v>41889.30027893011</v>
      </c>
      <c r="AQ175" s="12">
        <f t="shared" si="276"/>
        <v>41811.626067639481</v>
      </c>
      <c r="AR175" s="12">
        <f t="shared" si="276"/>
        <v>41754.804113516628</v>
      </c>
      <c r="AS175" s="12">
        <f t="shared" si="276"/>
        <v>55146.560237548569</v>
      </c>
      <c r="AT175" s="12">
        <f t="shared" si="276"/>
        <v>41800.831831351134</v>
      </c>
      <c r="AU175" s="12">
        <f t="shared" si="276"/>
        <v>65950.463353766725</v>
      </c>
      <c r="AV175" s="12">
        <f t="shared" si="276"/>
        <v>44759.757722007242</v>
      </c>
      <c r="AW175" s="12">
        <f t="shared" si="276"/>
        <v>41886.853301350107</v>
      </c>
      <c r="AX175" s="12">
        <f t="shared" ref="AX175:CC175" si="277">AX106+AX112+AX118+AX126+AX132+AX146+AX152+AX156+AX162+AX166+AX170+AX174+AX140</f>
        <v>41860.814906751199</v>
      </c>
      <c r="AY175" s="12">
        <f t="shared" si="277"/>
        <v>55338.328843715724</v>
      </c>
      <c r="AZ175" s="12">
        <f t="shared" si="277"/>
        <v>66165.391040038288</v>
      </c>
      <c r="BA175" s="12">
        <f t="shared" si="277"/>
        <v>57424.647295914576</v>
      </c>
      <c r="BB175" s="12">
        <f t="shared" si="277"/>
        <v>45624.336298455215</v>
      </c>
      <c r="BC175" s="12">
        <f t="shared" si="277"/>
        <v>45541.224892374245</v>
      </c>
      <c r="BD175" s="12">
        <f t="shared" si="277"/>
        <v>45480.425401462788</v>
      </c>
      <c r="BE175" s="12">
        <f t="shared" si="277"/>
        <v>59002.27112084363</v>
      </c>
      <c r="BF175" s="12">
        <f t="shared" si="277"/>
        <v>45529.67505954572</v>
      </c>
      <c r="BG175" s="12">
        <f t="shared" si="277"/>
        <v>71654.030788530406</v>
      </c>
      <c r="BH175" s="12">
        <f t="shared" si="277"/>
        <v>48608.22576254775</v>
      </c>
      <c r="BI175" s="12">
        <f t="shared" si="277"/>
        <v>45621.718032444609</v>
      </c>
      <c r="BJ175" s="12">
        <f t="shared" si="277"/>
        <v>45593.856950223788</v>
      </c>
      <c r="BK175" s="12">
        <f t="shared" si="277"/>
        <v>59207.463529442495</v>
      </c>
      <c r="BL175" s="12">
        <f t="shared" si="277"/>
        <v>71884.00341284099</v>
      </c>
      <c r="BM175" s="12">
        <f t="shared" si="277"/>
        <v>57459.237606628601</v>
      </c>
      <c r="BN175" s="12">
        <f t="shared" si="277"/>
        <v>45655.40483934708</v>
      </c>
      <c r="BO175" s="12">
        <f t="shared" si="277"/>
        <v>45566.475634840441</v>
      </c>
      <c r="BP175" s="12">
        <f t="shared" si="277"/>
        <v>45501.42017956519</v>
      </c>
      <c r="BQ175" s="12">
        <f t="shared" si="277"/>
        <v>59162.461765969354</v>
      </c>
      <c r="BR175" s="12">
        <f t="shared" si="277"/>
        <v>45554.117313713919</v>
      </c>
      <c r="BS175" s="12">
        <f t="shared" si="277"/>
        <v>71972.427943727525</v>
      </c>
      <c r="BT175" s="12">
        <f t="shared" si="277"/>
        <v>48760.666565926091</v>
      </c>
      <c r="BU175" s="12">
        <f t="shared" si="277"/>
        <v>45652.603294715729</v>
      </c>
      <c r="BV175" s="12">
        <f t="shared" si="277"/>
        <v>45622.791936739457</v>
      </c>
      <c r="BW175" s="12">
        <f t="shared" si="277"/>
        <v>59382.01764317014</v>
      </c>
      <c r="BX175" s="12">
        <f t="shared" si="277"/>
        <v>72218.498651739836</v>
      </c>
      <c r="BY175" s="12">
        <f t="shared" si="277"/>
        <v>61471.249239092598</v>
      </c>
      <c r="BZ175" s="12">
        <f t="shared" si="277"/>
        <v>48413.648178101379</v>
      </c>
      <c r="CA175" s="12">
        <f t="shared" si="277"/>
        <v>48318.493929279277</v>
      </c>
      <c r="CB175" s="12">
        <f t="shared" si="277"/>
        <v>48248.884592134753</v>
      </c>
      <c r="CC175" s="12">
        <f t="shared" si="277"/>
        <v>62788.032422920543</v>
      </c>
      <c r="CD175" s="12">
        <f t="shared" ref="CD175:DI175" si="278">CD106+CD112+CD118+CD126+CD132+CD146+CD152+CD156+CD162+CD166+CD170+CD174+CD140</f>
        <v>48305.270525673899</v>
      </c>
      <c r="CE175" s="12">
        <f t="shared" si="278"/>
        <v>76288.112899788452</v>
      </c>
      <c r="CF175" s="12">
        <f t="shared" si="278"/>
        <v>51648.778225540918</v>
      </c>
      <c r="CG175" s="12">
        <f t="shared" si="278"/>
        <v>48410.650525345831</v>
      </c>
      <c r="CH175" s="12">
        <f t="shared" si="278"/>
        <v>48378.75237231121</v>
      </c>
      <c r="CI175" s="12">
        <f t="shared" si="278"/>
        <v>63022.957211525383</v>
      </c>
      <c r="CJ175" s="12">
        <f t="shared" si="278"/>
        <v>76551.408557361632</v>
      </c>
      <c r="CK175" s="12">
        <f t="shared" si="278"/>
        <v>64372.851685829082</v>
      </c>
      <c r="CL175" s="12">
        <f t="shared" si="278"/>
        <v>50411.218550568476</v>
      </c>
      <c r="CM175" s="12">
        <f t="shared" si="278"/>
        <v>50309.403504328817</v>
      </c>
      <c r="CN175" s="12">
        <f t="shared" si="278"/>
        <v>50234.921513584188</v>
      </c>
      <c r="CO175" s="12">
        <f t="shared" si="278"/>
        <v>65458.434692524985</v>
      </c>
      <c r="CP175" s="12">
        <f t="shared" si="278"/>
        <v>50295.254462471072</v>
      </c>
      <c r="CQ175" s="12">
        <f t="shared" si="278"/>
        <v>79514.645802773637</v>
      </c>
      <c r="CR175" s="12">
        <f t="shared" si="278"/>
        <v>53785.307701328784</v>
      </c>
      <c r="CS175" s="12">
        <f t="shared" si="278"/>
        <v>50408.011062120044</v>
      </c>
      <c r="CT175" s="12">
        <f t="shared" si="278"/>
        <v>50373.880038372998</v>
      </c>
      <c r="CU175" s="12">
        <f t="shared" si="278"/>
        <v>65709.804216332152</v>
      </c>
      <c r="CV175" s="12">
        <f t="shared" si="278"/>
        <v>79796.372156376936</v>
      </c>
      <c r="CW175" s="12">
        <f t="shared" si="278"/>
        <v>64415.226303837117</v>
      </c>
      <c r="CX175" s="12">
        <f t="shared" si="278"/>
        <v>50449.278849108268</v>
      </c>
      <c r="CY175" s="12">
        <f t="shared" si="278"/>
        <v>50340.336749631839</v>
      </c>
      <c r="CZ175" s="12">
        <f t="shared" si="278"/>
        <v>50260.641019535076</v>
      </c>
      <c r="DA175" s="12">
        <f t="shared" si="278"/>
        <v>65654.675121001725</v>
      </c>
      <c r="DB175" s="12">
        <f t="shared" si="278"/>
        <v>50325.197274844038</v>
      </c>
      <c r="DC175" s="12">
        <f t="shared" si="278"/>
        <v>79904.696008967803</v>
      </c>
      <c r="DD175" s="12">
        <f t="shared" si="278"/>
        <v>53972.054240421799</v>
      </c>
      <c r="DE175" s="12">
        <f t="shared" si="278"/>
        <v>50445.846836468438</v>
      </c>
      <c r="DF175" s="12">
        <f t="shared" si="278"/>
        <v>50409.32664105911</v>
      </c>
      <c r="DG175" s="12">
        <f t="shared" si="278"/>
        <v>65923.640511475402</v>
      </c>
      <c r="DH175" s="12">
        <f t="shared" si="278"/>
        <v>80206.14320732333</v>
      </c>
      <c r="DI175" s="12">
        <f t="shared" si="278"/>
        <v>64460.567145105721</v>
      </c>
      <c r="DJ175" s="12">
        <f t="shared" ref="DJ175:DT175" si="279">DJ106+DJ112+DJ118+DJ126+DJ132+DJ146+DJ152+DJ156+DJ162+DJ166+DJ170+DJ174+DJ140</f>
        <v>50490.003368545847</v>
      </c>
      <c r="DK175" s="12">
        <f t="shared" si="279"/>
        <v>50373.435322106074</v>
      </c>
      <c r="DL175" s="12">
        <f t="shared" si="279"/>
        <v>50288.160890902538</v>
      </c>
      <c r="DM175" s="12">
        <f t="shared" si="279"/>
        <v>65864.652379471852</v>
      </c>
      <c r="DN175" s="12">
        <f t="shared" si="279"/>
        <v>50357.236084083124</v>
      </c>
      <c r="DO175" s="12">
        <f t="shared" si="279"/>
        <v>80322.049729595557</v>
      </c>
      <c r="DP175" s="12">
        <f t="shared" si="279"/>
        <v>54171.873037251324</v>
      </c>
      <c r="DQ175" s="12">
        <f t="shared" si="279"/>
        <v>50486.331115021239</v>
      </c>
      <c r="DR175" s="12">
        <f t="shared" si="279"/>
        <v>50447.254505933248</v>
      </c>
      <c r="DS175" s="12">
        <f t="shared" si="279"/>
        <v>66152.445347278684</v>
      </c>
      <c r="DT175" s="12">
        <f t="shared" si="279"/>
        <v>80644.59823183596</v>
      </c>
    </row>
    <row r="177" spans="1:13" x14ac:dyDescent="0.25">
      <c r="A177" s="190"/>
      <c r="D177" s="200" t="s">
        <v>38</v>
      </c>
      <c r="E177" s="200" t="s">
        <v>40</v>
      </c>
      <c r="F177" s="200" t="s">
        <v>41</v>
      </c>
      <c r="G177" s="200" t="s">
        <v>42</v>
      </c>
      <c r="H177" s="200" t="s">
        <v>43</v>
      </c>
      <c r="I177" s="200" t="s">
        <v>44</v>
      </c>
      <c r="J177" s="200" t="s">
        <v>45</v>
      </c>
      <c r="K177" s="200" t="s">
        <v>46</v>
      </c>
      <c r="L177" s="200" t="s">
        <v>47</v>
      </c>
      <c r="M177" s="200" t="s">
        <v>48</v>
      </c>
    </row>
    <row r="178" spans="1:13" x14ac:dyDescent="0.25">
      <c r="C178" s="190"/>
      <c r="D178" s="168">
        <f>SUM(E175:P175)</f>
        <v>511164.71145085292</v>
      </c>
      <c r="E178" s="168">
        <f>SUM(Q175:AB175)</f>
        <v>556553.0108820037</v>
      </c>
      <c r="F178" s="168">
        <f>SUM(AC175:AN175)</f>
        <v>571783.9236130896</v>
      </c>
      <c r="G178" s="168">
        <f>SUM(AO175:AZ175)</f>
        <v>592051.05159933912</v>
      </c>
      <c r="H178" s="168">
        <f>SUM(BA175:BL175)</f>
        <v>641171.87854462618</v>
      </c>
      <c r="I178" s="168">
        <f>SUM(BM175:BX175)</f>
        <v>642508.12337608344</v>
      </c>
      <c r="J178" s="168">
        <f>SUM(BY175:CJ175)</f>
        <v>681846.23867907585</v>
      </c>
      <c r="K178" s="168">
        <f>SUM(CK175:CV175)</f>
        <v>710670.10538661119</v>
      </c>
      <c r="L178" s="168">
        <f>SUM(CW175:DH175)</f>
        <v>712307.06276367395</v>
      </c>
      <c r="M178" s="168">
        <f>SUM(DI175:DT175)</f>
        <v>714058.60715713119</v>
      </c>
    </row>
    <row r="179" spans="1:13" x14ac:dyDescent="0.25">
      <c r="C179" s="190"/>
      <c r="D179" s="190"/>
      <c r="E179" s="190"/>
      <c r="F179" s="190"/>
      <c r="G179" s="190"/>
      <c r="H179" s="190"/>
      <c r="I179" s="190"/>
      <c r="J179" s="190"/>
      <c r="K179" s="190"/>
      <c r="L179" s="190"/>
      <c r="M179" s="230"/>
    </row>
    <row r="181" spans="1:13" x14ac:dyDescent="0.25">
      <c r="A181" s="300" t="s">
        <v>640</v>
      </c>
      <c r="B181" s="301" t="s">
        <v>280</v>
      </c>
      <c r="C181" s="485"/>
      <c r="D181" s="190"/>
      <c r="E181" s="821" t="s">
        <v>176</v>
      </c>
      <c r="F181" s="822"/>
      <c r="G181" s="12">
        <f>SUM(G184:G188)</f>
        <v>117000</v>
      </c>
    </row>
    <row r="182" spans="1:13" x14ac:dyDescent="0.25">
      <c r="C182" s="190"/>
      <c r="D182" s="190"/>
      <c r="E182" s="190"/>
      <c r="F182" s="190"/>
      <c r="G182" s="190"/>
    </row>
    <row r="183" spans="1:13" ht="25.5" x14ac:dyDescent="0.25">
      <c r="B183" s="196" t="s">
        <v>248</v>
      </c>
      <c r="C183" s="201" t="s">
        <v>169</v>
      </c>
      <c r="D183" s="198" t="s">
        <v>281</v>
      </c>
      <c r="E183" s="198" t="s">
        <v>282</v>
      </c>
      <c r="F183" s="198" t="s">
        <v>283</v>
      </c>
      <c r="G183" s="198" t="s">
        <v>284</v>
      </c>
    </row>
    <row r="184" spans="1:13" ht="25.5" x14ac:dyDescent="0.25">
      <c r="B184" s="476" t="s">
        <v>631</v>
      </c>
      <c r="C184" s="184">
        <v>1</v>
      </c>
      <c r="D184" s="184" t="s">
        <v>285</v>
      </c>
      <c r="E184" s="184">
        <v>2400</v>
      </c>
      <c r="F184" s="184">
        <f>E184*C184</f>
        <v>2400</v>
      </c>
      <c r="G184" s="184">
        <f>F184*12</f>
        <v>28800</v>
      </c>
    </row>
    <row r="185" spans="1:13" x14ac:dyDescent="0.25">
      <c r="B185" s="477" t="s">
        <v>286</v>
      </c>
      <c r="C185" s="184">
        <v>1</v>
      </c>
      <c r="D185" s="184" t="s">
        <v>285</v>
      </c>
      <c r="E185" s="184">
        <v>3341.05</v>
      </c>
      <c r="F185" s="184">
        <v>3000</v>
      </c>
      <c r="G185" s="184">
        <f>F185*12</f>
        <v>36000</v>
      </c>
    </row>
    <row r="186" spans="1:13" x14ac:dyDescent="0.25">
      <c r="B186" s="477" t="s">
        <v>287</v>
      </c>
      <c r="C186" s="184">
        <v>1</v>
      </c>
      <c r="D186" s="184" t="s">
        <v>285</v>
      </c>
      <c r="E186" s="184">
        <v>350</v>
      </c>
      <c r="F186" s="184">
        <f>E186*C186</f>
        <v>350</v>
      </c>
      <c r="G186" s="184">
        <f>F186*12</f>
        <v>4200</v>
      </c>
    </row>
    <row r="187" spans="1:13" x14ac:dyDescent="0.25">
      <c r="B187" s="486" t="s">
        <v>288</v>
      </c>
      <c r="C187" s="184">
        <v>2</v>
      </c>
      <c r="D187" s="184" t="s">
        <v>285</v>
      </c>
      <c r="E187" s="184">
        <v>1000</v>
      </c>
      <c r="F187" s="184">
        <f>E187*C187</f>
        <v>2000</v>
      </c>
      <c r="G187" s="184">
        <f>F187*12</f>
        <v>24000</v>
      </c>
    </row>
    <row r="188" spans="1:13" x14ac:dyDescent="0.25">
      <c r="B188" s="487" t="s">
        <v>591</v>
      </c>
      <c r="C188" s="184">
        <v>1</v>
      </c>
      <c r="D188" s="184" t="s">
        <v>285</v>
      </c>
      <c r="E188" s="184">
        <v>2000</v>
      </c>
      <c r="F188" s="184">
        <v>2000</v>
      </c>
      <c r="G188" s="184">
        <f>F188*12</f>
        <v>24000</v>
      </c>
    </row>
    <row r="189" spans="1:13" x14ac:dyDescent="0.25">
      <c r="C189" s="190"/>
      <c r="D189" s="190"/>
      <c r="E189" s="12" t="s">
        <v>273</v>
      </c>
      <c r="F189" s="12">
        <f>SUM(F184:F188)</f>
        <v>9750</v>
      </c>
      <c r="G189" s="12">
        <f>SUM(G184:G188)</f>
        <v>117000</v>
      </c>
    </row>
    <row r="190" spans="1:13" x14ac:dyDescent="0.25">
      <c r="C190" s="190"/>
      <c r="D190" s="190"/>
      <c r="E190" s="190"/>
      <c r="F190" s="190"/>
      <c r="G190" s="190"/>
    </row>
    <row r="191" spans="1:13" x14ac:dyDescent="0.25">
      <c r="F191" s="435"/>
      <c r="G191" s="230"/>
      <c r="H191" s="435"/>
    </row>
    <row r="192" spans="1:13" x14ac:dyDescent="0.25">
      <c r="A192" s="300" t="s">
        <v>641</v>
      </c>
      <c r="B192" s="301" t="s">
        <v>289</v>
      </c>
      <c r="C192" s="488"/>
      <c r="E192" s="776" t="s">
        <v>176</v>
      </c>
      <c r="F192" s="777"/>
      <c r="G192" s="12">
        <f>G204</f>
        <v>42480</v>
      </c>
    </row>
    <row r="194" spans="1:22" ht="38.25" customHeight="1" x14ac:dyDescent="0.25">
      <c r="B194" s="202" t="s">
        <v>290</v>
      </c>
      <c r="C194" s="203" t="s">
        <v>291</v>
      </c>
      <c r="D194" s="203" t="s">
        <v>281</v>
      </c>
      <c r="E194" s="203" t="s">
        <v>292</v>
      </c>
      <c r="F194" s="203" t="s">
        <v>282</v>
      </c>
      <c r="G194" s="203" t="s">
        <v>284</v>
      </c>
    </row>
    <row r="195" spans="1:22" x14ac:dyDescent="0.25">
      <c r="B195" s="304" t="s">
        <v>572</v>
      </c>
      <c r="C195" s="438" t="s">
        <v>285</v>
      </c>
      <c r="D195" s="438">
        <v>1</v>
      </c>
      <c r="E195" s="184">
        <v>30</v>
      </c>
      <c r="F195" s="184">
        <f>E195*D195*4</f>
        <v>120</v>
      </c>
      <c r="G195" s="184">
        <f>F195*12</f>
        <v>1440</v>
      </c>
    </row>
    <row r="196" spans="1:22" x14ac:dyDescent="0.25">
      <c r="B196" s="304" t="s">
        <v>573</v>
      </c>
      <c r="C196" s="438" t="s">
        <v>285</v>
      </c>
      <c r="D196" s="438">
        <v>4</v>
      </c>
      <c r="E196" s="184">
        <v>30</v>
      </c>
      <c r="F196" s="184">
        <f t="shared" ref="F196:F201" si="280">E196*D196*4</f>
        <v>480</v>
      </c>
      <c r="G196" s="184">
        <f t="shared" ref="G196:G203" si="281">F196*12</f>
        <v>5760</v>
      </c>
    </row>
    <row r="197" spans="1:22" x14ac:dyDescent="0.25">
      <c r="B197" s="304" t="s">
        <v>574</v>
      </c>
      <c r="C197" s="438" t="s">
        <v>285</v>
      </c>
      <c r="D197" s="438">
        <v>4</v>
      </c>
      <c r="E197" s="184">
        <v>30</v>
      </c>
      <c r="F197" s="184">
        <f t="shared" si="280"/>
        <v>480</v>
      </c>
      <c r="G197" s="184">
        <f t="shared" si="281"/>
        <v>5760</v>
      </c>
    </row>
    <row r="198" spans="1:22" x14ac:dyDescent="0.25">
      <c r="B198" s="304" t="s">
        <v>586</v>
      </c>
      <c r="C198" s="438" t="s">
        <v>285</v>
      </c>
      <c r="D198" s="438">
        <v>6</v>
      </c>
      <c r="E198" s="184">
        <v>30</v>
      </c>
      <c r="F198" s="184">
        <f t="shared" si="280"/>
        <v>720</v>
      </c>
      <c r="G198" s="184">
        <f t="shared" si="281"/>
        <v>8640</v>
      </c>
    </row>
    <row r="199" spans="1:22" x14ac:dyDescent="0.25">
      <c r="B199" s="304" t="s">
        <v>587</v>
      </c>
      <c r="C199" s="438" t="s">
        <v>285</v>
      </c>
      <c r="D199" s="438">
        <v>4</v>
      </c>
      <c r="E199" s="184">
        <v>30</v>
      </c>
      <c r="F199" s="184">
        <f t="shared" si="280"/>
        <v>480</v>
      </c>
      <c r="G199" s="184">
        <f t="shared" si="281"/>
        <v>5760</v>
      </c>
    </row>
    <row r="200" spans="1:22" x14ac:dyDescent="0.25">
      <c r="B200" s="304" t="s">
        <v>588</v>
      </c>
      <c r="C200" s="438" t="s">
        <v>285</v>
      </c>
      <c r="D200" s="438">
        <v>4</v>
      </c>
      <c r="E200" s="184">
        <v>40</v>
      </c>
      <c r="F200" s="184">
        <f t="shared" si="280"/>
        <v>640</v>
      </c>
      <c r="G200" s="184">
        <f t="shared" si="281"/>
        <v>7680</v>
      </c>
    </row>
    <row r="201" spans="1:22" x14ac:dyDescent="0.25">
      <c r="B201" s="304" t="s">
        <v>589</v>
      </c>
      <c r="C201" s="438" t="s">
        <v>285</v>
      </c>
      <c r="D201" s="438">
        <v>1</v>
      </c>
      <c r="E201" s="184">
        <v>35</v>
      </c>
      <c r="F201" s="184">
        <f t="shared" si="280"/>
        <v>140</v>
      </c>
      <c r="G201" s="184">
        <f t="shared" si="281"/>
        <v>1680</v>
      </c>
    </row>
    <row r="202" spans="1:22" x14ac:dyDescent="0.25">
      <c r="B202" s="304" t="s">
        <v>263</v>
      </c>
      <c r="C202" s="438" t="s">
        <v>285</v>
      </c>
      <c r="D202" s="438">
        <v>4</v>
      </c>
      <c r="E202" s="184">
        <v>30</v>
      </c>
      <c r="F202" s="184">
        <f>E202*D202*4</f>
        <v>480</v>
      </c>
      <c r="G202" s="184">
        <f t="shared" si="281"/>
        <v>5760</v>
      </c>
    </row>
    <row r="203" spans="1:22" x14ac:dyDescent="0.25">
      <c r="B203" s="304" t="s">
        <v>590</v>
      </c>
      <c r="C203" s="438" t="s">
        <v>285</v>
      </c>
      <c r="D203" s="438">
        <v>1</v>
      </c>
      <c r="E203" s="184">
        <v>120</v>
      </c>
      <c r="F203" s="184">
        <v>0</v>
      </c>
      <c r="G203" s="184">
        <f t="shared" si="281"/>
        <v>0</v>
      </c>
    </row>
    <row r="204" spans="1:22" x14ac:dyDescent="0.25">
      <c r="E204" s="456" t="s">
        <v>114</v>
      </c>
      <c r="F204" s="456">
        <f>SUM(F195:F203)</f>
        <v>3540</v>
      </c>
      <c r="G204" s="456">
        <f>SUM(G195:G203)</f>
        <v>42480</v>
      </c>
    </row>
    <row r="206" spans="1:22" x14ac:dyDescent="0.25">
      <c r="A206" s="300" t="s">
        <v>642</v>
      </c>
      <c r="B206" s="776" t="s">
        <v>579</v>
      </c>
      <c r="C206" s="778"/>
    </row>
    <row r="208" spans="1:22" ht="24.75" customHeight="1" x14ac:dyDescent="0.25">
      <c r="B208" s="204" t="s">
        <v>584</v>
      </c>
      <c r="C208" s="204" t="s">
        <v>285</v>
      </c>
      <c r="D208" s="204" t="s">
        <v>169</v>
      </c>
      <c r="E208" s="205" t="s">
        <v>293</v>
      </c>
      <c r="F208" s="205" t="s">
        <v>452</v>
      </c>
      <c r="G208" s="205" t="s">
        <v>294</v>
      </c>
      <c r="J208" s="12" t="s">
        <v>0</v>
      </c>
      <c r="K208" s="12" t="s">
        <v>1</v>
      </c>
      <c r="L208" s="12" t="s">
        <v>49</v>
      </c>
      <c r="M208" s="12" t="s">
        <v>50</v>
      </c>
      <c r="N208" s="12" t="s">
        <v>51</v>
      </c>
      <c r="O208" s="12" t="s">
        <v>52</v>
      </c>
      <c r="P208" s="12" t="s">
        <v>53</v>
      </c>
      <c r="Q208" s="12" t="s">
        <v>54</v>
      </c>
      <c r="R208" s="12" t="s">
        <v>55</v>
      </c>
      <c r="S208" s="12" t="s">
        <v>56</v>
      </c>
      <c r="T208" s="12" t="s">
        <v>57</v>
      </c>
      <c r="U208" s="12" t="s">
        <v>58</v>
      </c>
      <c r="V208" s="190"/>
    </row>
    <row r="209" spans="2:22" x14ac:dyDescent="0.25">
      <c r="B209" s="489" t="s">
        <v>300</v>
      </c>
      <c r="C209" s="191" t="s">
        <v>285</v>
      </c>
      <c r="D209" s="191">
        <v>1</v>
      </c>
      <c r="E209" s="184">
        <v>100</v>
      </c>
      <c r="F209" s="184" t="s">
        <v>285</v>
      </c>
      <c r="G209" s="184">
        <f>(E209)*D209</f>
        <v>100</v>
      </c>
      <c r="J209" s="184"/>
      <c r="K209" s="184"/>
      <c r="L209" s="184"/>
      <c r="M209" s="184"/>
      <c r="N209" s="184"/>
      <c r="O209" s="184">
        <f>G209*5</f>
        <v>500</v>
      </c>
      <c r="P209" s="184"/>
      <c r="Q209" s="184"/>
      <c r="R209" s="184"/>
      <c r="S209" s="184"/>
      <c r="T209" s="184"/>
      <c r="U209" s="184"/>
      <c r="V209" s="190"/>
    </row>
    <row r="210" spans="2:22" x14ac:dyDescent="0.25">
      <c r="B210" s="489" t="s">
        <v>571</v>
      </c>
      <c r="C210" s="191" t="s">
        <v>285</v>
      </c>
      <c r="D210" s="191">
        <v>1</v>
      </c>
      <c r="E210" s="184">
        <v>540</v>
      </c>
      <c r="F210" s="184" t="s">
        <v>285</v>
      </c>
      <c r="G210" s="184">
        <f>(E210)*D210</f>
        <v>540</v>
      </c>
      <c r="J210" s="184"/>
      <c r="K210" s="184"/>
      <c r="L210" s="184"/>
      <c r="M210" s="184"/>
      <c r="N210" s="184"/>
      <c r="O210" s="184">
        <f>G210*5</f>
        <v>2700</v>
      </c>
      <c r="P210" s="184"/>
      <c r="Q210" s="184"/>
      <c r="R210" s="184"/>
      <c r="S210" s="184"/>
      <c r="T210" s="184"/>
      <c r="U210" s="184"/>
      <c r="V210" s="190"/>
    </row>
    <row r="211" spans="2:22" x14ac:dyDescent="0.25">
      <c r="I211" s="300" t="s">
        <v>114</v>
      </c>
      <c r="J211" s="12">
        <v>0</v>
      </c>
      <c r="K211" s="12">
        <f t="shared" ref="K211:U211" si="282">SUM(K209:K210)</f>
        <v>0</v>
      </c>
      <c r="L211" s="12">
        <f t="shared" si="282"/>
        <v>0</v>
      </c>
      <c r="M211" s="12">
        <f t="shared" si="282"/>
        <v>0</v>
      </c>
      <c r="N211" s="12">
        <f t="shared" si="282"/>
        <v>0</v>
      </c>
      <c r="O211" s="12">
        <f t="shared" si="282"/>
        <v>3200</v>
      </c>
      <c r="P211" s="12">
        <f t="shared" si="282"/>
        <v>0</v>
      </c>
      <c r="Q211" s="12">
        <f t="shared" si="282"/>
        <v>0</v>
      </c>
      <c r="R211" s="12">
        <f t="shared" si="282"/>
        <v>0</v>
      </c>
      <c r="S211" s="12">
        <f t="shared" si="282"/>
        <v>0</v>
      </c>
      <c r="T211" s="12">
        <f t="shared" si="282"/>
        <v>0</v>
      </c>
      <c r="U211" s="12">
        <f t="shared" si="282"/>
        <v>0</v>
      </c>
      <c r="V211" s="12">
        <f>SUM(J211:U211)</f>
        <v>3200</v>
      </c>
    </row>
    <row r="212" spans="2:22" x14ac:dyDescent="0.25">
      <c r="I212" s="459"/>
      <c r="J212" s="192"/>
      <c r="K212" s="192"/>
      <c r="L212" s="192"/>
      <c r="M212" s="192"/>
      <c r="N212" s="192"/>
      <c r="O212" s="192"/>
      <c r="P212" s="192"/>
      <c r="Q212" s="192"/>
      <c r="R212" s="192"/>
      <c r="S212" s="192"/>
      <c r="T212" s="192"/>
      <c r="U212" s="192"/>
      <c r="V212" s="192"/>
    </row>
    <row r="213" spans="2:22" x14ac:dyDescent="0.25">
      <c r="J213" s="190"/>
      <c r="K213" s="190"/>
      <c r="L213" s="190"/>
      <c r="M213" s="190"/>
      <c r="N213" s="190"/>
      <c r="O213" s="190"/>
      <c r="P213" s="190"/>
      <c r="Q213" s="190"/>
      <c r="R213" s="190"/>
      <c r="S213" s="190"/>
      <c r="T213" s="190"/>
      <c r="U213" s="190"/>
      <c r="V213" s="190"/>
    </row>
    <row r="214" spans="2:22" ht="25.5" x14ac:dyDescent="0.25">
      <c r="B214" s="204" t="s">
        <v>585</v>
      </c>
      <c r="C214" s="204" t="s">
        <v>285</v>
      </c>
      <c r="D214" s="204" t="s">
        <v>169</v>
      </c>
      <c r="E214" s="205" t="s">
        <v>293</v>
      </c>
      <c r="F214" s="205" t="s">
        <v>452</v>
      </c>
      <c r="G214" s="205" t="s">
        <v>294</v>
      </c>
      <c r="J214" s="432" t="s">
        <v>2</v>
      </c>
      <c r="K214" s="432" t="s">
        <v>14</v>
      </c>
      <c r="L214" s="432" t="s">
        <v>15</v>
      </c>
      <c r="M214" s="432" t="s">
        <v>16</v>
      </c>
      <c r="N214" s="432" t="s">
        <v>17</v>
      </c>
      <c r="O214" s="432" t="s">
        <v>18</v>
      </c>
      <c r="P214" s="432" t="s">
        <v>19</v>
      </c>
      <c r="Q214" s="432" t="s">
        <v>20</v>
      </c>
      <c r="R214" s="457" t="s">
        <v>21</v>
      </c>
      <c r="S214" s="458" t="s">
        <v>22</v>
      </c>
      <c r="T214" s="190"/>
      <c r="U214" s="190"/>
      <c r="V214" s="190"/>
    </row>
    <row r="215" spans="2:22" x14ac:dyDescent="0.25">
      <c r="B215" s="489" t="s">
        <v>300</v>
      </c>
      <c r="C215" s="191" t="s">
        <v>285</v>
      </c>
      <c r="D215" s="191">
        <v>1</v>
      </c>
      <c r="E215" s="184">
        <v>100</v>
      </c>
      <c r="F215" s="184" t="s">
        <v>285</v>
      </c>
      <c r="G215" s="184">
        <f>(E215)*D215</f>
        <v>100</v>
      </c>
      <c r="J215" s="184">
        <f>G215*5</f>
        <v>500</v>
      </c>
      <c r="K215" s="184">
        <f>G215*5</f>
        <v>500</v>
      </c>
      <c r="L215" s="184">
        <f>G215*6</f>
        <v>600</v>
      </c>
      <c r="M215" s="184">
        <f>G215*6</f>
        <v>600</v>
      </c>
      <c r="N215" s="184">
        <f>G215*7</f>
        <v>700</v>
      </c>
      <c r="O215" s="184">
        <f>G215*7</f>
        <v>700</v>
      </c>
      <c r="P215" s="184">
        <f>G215*7</f>
        <v>700</v>
      </c>
      <c r="Q215" s="184">
        <f>G215*8</f>
        <v>800</v>
      </c>
      <c r="R215" s="184">
        <f>G215*8</f>
        <v>800</v>
      </c>
      <c r="S215" s="184">
        <f>G215*8</f>
        <v>800</v>
      </c>
      <c r="T215" s="190"/>
      <c r="U215" s="190"/>
      <c r="V215" s="190"/>
    </row>
    <row r="216" spans="2:22" x14ac:dyDescent="0.25">
      <c r="B216" s="489" t="s">
        <v>571</v>
      </c>
      <c r="C216" s="191" t="s">
        <v>285</v>
      </c>
      <c r="D216" s="191">
        <v>1</v>
      </c>
      <c r="E216" s="184">
        <v>540</v>
      </c>
      <c r="F216" s="184" t="s">
        <v>285</v>
      </c>
      <c r="G216" s="184">
        <f>(E216)*D216</f>
        <v>540</v>
      </c>
      <c r="J216" s="184">
        <f>G216*5</f>
        <v>2700</v>
      </c>
      <c r="K216" s="184">
        <f>G216*5</f>
        <v>2700</v>
      </c>
      <c r="L216" s="184">
        <f>G216*6</f>
        <v>3240</v>
      </c>
      <c r="M216" s="184">
        <f>G216*6</f>
        <v>3240</v>
      </c>
      <c r="N216" s="184">
        <f>G216*7</f>
        <v>3780</v>
      </c>
      <c r="O216" s="184">
        <f>G216*7</f>
        <v>3780</v>
      </c>
      <c r="P216" s="184">
        <f>G216*7</f>
        <v>3780</v>
      </c>
      <c r="Q216" s="184">
        <f>G216*8</f>
        <v>4320</v>
      </c>
      <c r="R216" s="184">
        <f>G216*8</f>
        <v>4320</v>
      </c>
      <c r="S216" s="184">
        <f>G216*8</f>
        <v>4320</v>
      </c>
      <c r="T216" s="190"/>
      <c r="U216" s="190"/>
      <c r="V216" s="190"/>
    </row>
    <row r="217" spans="2:22" x14ac:dyDescent="0.25">
      <c r="B217" s="490" t="s">
        <v>299</v>
      </c>
      <c r="C217" s="191" t="s">
        <v>285</v>
      </c>
      <c r="D217" s="206">
        <v>1</v>
      </c>
      <c r="E217" s="184">
        <v>840</v>
      </c>
      <c r="F217" s="184" t="s">
        <v>285</v>
      </c>
      <c r="G217" s="184">
        <f>(E217)*D217</f>
        <v>840</v>
      </c>
      <c r="J217" s="184"/>
      <c r="K217" s="184">
        <f>$G$217*1</f>
        <v>840</v>
      </c>
      <c r="L217" s="184">
        <f t="shared" ref="L217:S217" si="283">$G$217*1</f>
        <v>840</v>
      </c>
      <c r="M217" s="184">
        <f t="shared" si="283"/>
        <v>840</v>
      </c>
      <c r="N217" s="184">
        <f t="shared" si="283"/>
        <v>840</v>
      </c>
      <c r="O217" s="184">
        <f t="shared" si="283"/>
        <v>840</v>
      </c>
      <c r="P217" s="184">
        <f t="shared" si="283"/>
        <v>840</v>
      </c>
      <c r="Q217" s="184">
        <f t="shared" si="283"/>
        <v>840</v>
      </c>
      <c r="R217" s="184">
        <f t="shared" si="283"/>
        <v>840</v>
      </c>
      <c r="S217" s="184">
        <f t="shared" si="283"/>
        <v>840</v>
      </c>
      <c r="T217" s="190"/>
      <c r="U217" s="190"/>
      <c r="V217" s="190"/>
    </row>
    <row r="218" spans="2:22" x14ac:dyDescent="0.25">
      <c r="B218" s="489" t="s">
        <v>295</v>
      </c>
      <c r="C218" s="191" t="s">
        <v>285</v>
      </c>
      <c r="D218" s="191">
        <v>1</v>
      </c>
      <c r="E218" s="184">
        <f>290*3.3</f>
        <v>957</v>
      </c>
      <c r="F218" s="184">
        <f>(526+100)*3.3</f>
        <v>2065.7999999999997</v>
      </c>
      <c r="G218" s="184">
        <f>(E218+F218)*D218</f>
        <v>3022.7999999999997</v>
      </c>
      <c r="J218" s="184"/>
      <c r="K218" s="184">
        <f>$G$218*1</f>
        <v>3022.7999999999997</v>
      </c>
      <c r="L218" s="184">
        <f t="shared" ref="L218:S218" si="284">$G$218*1</f>
        <v>3022.7999999999997</v>
      </c>
      <c r="M218" s="184">
        <f t="shared" si="284"/>
        <v>3022.7999999999997</v>
      </c>
      <c r="N218" s="184">
        <f t="shared" si="284"/>
        <v>3022.7999999999997</v>
      </c>
      <c r="O218" s="184">
        <f t="shared" si="284"/>
        <v>3022.7999999999997</v>
      </c>
      <c r="P218" s="184">
        <f t="shared" si="284"/>
        <v>3022.7999999999997</v>
      </c>
      <c r="Q218" s="184">
        <f t="shared" si="284"/>
        <v>3022.7999999999997</v>
      </c>
      <c r="R218" s="184">
        <f t="shared" si="284"/>
        <v>3022.7999999999997</v>
      </c>
      <c r="S218" s="184">
        <f t="shared" si="284"/>
        <v>3022.7999999999997</v>
      </c>
      <c r="T218" s="190"/>
      <c r="U218" s="190"/>
      <c r="V218" s="190"/>
    </row>
    <row r="219" spans="2:22" ht="25.5" x14ac:dyDescent="0.25">
      <c r="B219" s="490" t="s">
        <v>296</v>
      </c>
      <c r="C219" s="191" t="s">
        <v>285</v>
      </c>
      <c r="D219" s="206">
        <v>1</v>
      </c>
      <c r="E219" s="184">
        <v>2000</v>
      </c>
      <c r="F219" s="184">
        <f>(838+100)*3.3</f>
        <v>3095.3999999999996</v>
      </c>
      <c r="G219" s="184">
        <f>(E219+F219)*D219</f>
        <v>5095.3999999999996</v>
      </c>
      <c r="J219" s="184"/>
      <c r="K219" s="184">
        <f>$G$219*1</f>
        <v>5095.3999999999996</v>
      </c>
      <c r="L219" s="184">
        <f t="shared" ref="L219:S219" si="285">$G$219*1</f>
        <v>5095.3999999999996</v>
      </c>
      <c r="M219" s="184">
        <f t="shared" si="285"/>
        <v>5095.3999999999996</v>
      </c>
      <c r="N219" s="184">
        <f t="shared" si="285"/>
        <v>5095.3999999999996</v>
      </c>
      <c r="O219" s="184">
        <f t="shared" si="285"/>
        <v>5095.3999999999996</v>
      </c>
      <c r="P219" s="184">
        <f t="shared" si="285"/>
        <v>5095.3999999999996</v>
      </c>
      <c r="Q219" s="184">
        <f t="shared" si="285"/>
        <v>5095.3999999999996</v>
      </c>
      <c r="R219" s="184">
        <f t="shared" si="285"/>
        <v>5095.3999999999996</v>
      </c>
      <c r="S219" s="184">
        <f t="shared" si="285"/>
        <v>5095.3999999999996</v>
      </c>
      <c r="T219" s="190"/>
      <c r="U219" s="190"/>
      <c r="V219" s="190"/>
    </row>
    <row r="220" spans="2:22" x14ac:dyDescent="0.25">
      <c r="B220" s="490" t="s">
        <v>297</v>
      </c>
      <c r="C220" s="491" t="s">
        <v>285</v>
      </c>
      <c r="D220" s="206">
        <v>1</v>
      </c>
      <c r="E220" s="184">
        <v>1050</v>
      </c>
      <c r="F220" s="184" t="s">
        <v>285</v>
      </c>
      <c r="G220" s="184">
        <f>(E220)*D220</f>
        <v>1050</v>
      </c>
      <c r="J220" s="184"/>
      <c r="K220" s="184">
        <f>$G$220*1</f>
        <v>1050</v>
      </c>
      <c r="L220" s="184">
        <f t="shared" ref="L220:S220" si="286">$G$220*1</f>
        <v>1050</v>
      </c>
      <c r="M220" s="184">
        <f t="shared" si="286"/>
        <v>1050</v>
      </c>
      <c r="N220" s="184">
        <f t="shared" si="286"/>
        <v>1050</v>
      </c>
      <c r="O220" s="184">
        <f t="shared" si="286"/>
        <v>1050</v>
      </c>
      <c r="P220" s="184">
        <f t="shared" si="286"/>
        <v>1050</v>
      </c>
      <c r="Q220" s="184">
        <f t="shared" si="286"/>
        <v>1050</v>
      </c>
      <c r="R220" s="184">
        <f t="shared" si="286"/>
        <v>1050</v>
      </c>
      <c r="S220" s="184">
        <f t="shared" si="286"/>
        <v>1050</v>
      </c>
      <c r="T220" s="190"/>
      <c r="U220" s="190"/>
      <c r="V220" s="190"/>
    </row>
    <row r="221" spans="2:22" x14ac:dyDescent="0.25">
      <c r="B221" s="490" t="s">
        <v>298</v>
      </c>
      <c r="C221" s="191" t="s">
        <v>285</v>
      </c>
      <c r="D221" s="206">
        <v>1</v>
      </c>
      <c r="E221" s="184">
        <v>1500</v>
      </c>
      <c r="F221" s="184" t="s">
        <v>285</v>
      </c>
      <c r="G221" s="184">
        <f>(E221)*D221</f>
        <v>1500</v>
      </c>
      <c r="J221" s="184"/>
      <c r="K221" s="184">
        <f>$G$221*1</f>
        <v>1500</v>
      </c>
      <c r="L221" s="184">
        <f t="shared" ref="L221:S221" si="287">$G$221*1</f>
        <v>1500</v>
      </c>
      <c r="M221" s="184">
        <f t="shared" si="287"/>
        <v>1500</v>
      </c>
      <c r="N221" s="184">
        <f t="shared" si="287"/>
        <v>1500</v>
      </c>
      <c r="O221" s="184">
        <f t="shared" si="287"/>
        <v>1500</v>
      </c>
      <c r="P221" s="184">
        <f t="shared" si="287"/>
        <v>1500</v>
      </c>
      <c r="Q221" s="184">
        <f t="shared" si="287"/>
        <v>1500</v>
      </c>
      <c r="R221" s="184">
        <f t="shared" si="287"/>
        <v>1500</v>
      </c>
      <c r="S221" s="184">
        <f t="shared" si="287"/>
        <v>1500</v>
      </c>
      <c r="T221" s="190"/>
      <c r="U221" s="190"/>
      <c r="V221" s="190"/>
    </row>
    <row r="222" spans="2:22" x14ac:dyDescent="0.25">
      <c r="I222" s="300" t="s">
        <v>114</v>
      </c>
      <c r="J222" s="453">
        <f>SUM(J215:J221)</f>
        <v>3200</v>
      </c>
      <c r="K222" s="453">
        <f t="shared" ref="K222:S222" si="288">SUM(K215:K221)</f>
        <v>14708.199999999999</v>
      </c>
      <c r="L222" s="453">
        <f t="shared" si="288"/>
        <v>15348.199999999999</v>
      </c>
      <c r="M222" s="453">
        <f t="shared" si="288"/>
        <v>15348.199999999999</v>
      </c>
      <c r="N222" s="453">
        <f t="shared" si="288"/>
        <v>15988.199999999999</v>
      </c>
      <c r="O222" s="453">
        <f t="shared" si="288"/>
        <v>15988.199999999999</v>
      </c>
      <c r="P222" s="453">
        <f t="shared" si="288"/>
        <v>15988.199999999999</v>
      </c>
      <c r="Q222" s="453">
        <f t="shared" si="288"/>
        <v>16628.199999999997</v>
      </c>
      <c r="R222" s="453">
        <f t="shared" si="288"/>
        <v>16628.199999999997</v>
      </c>
      <c r="S222" s="453">
        <f t="shared" si="288"/>
        <v>16628.199999999997</v>
      </c>
      <c r="T222" s="190"/>
      <c r="U222" s="190"/>
      <c r="V222" s="190"/>
    </row>
    <row r="223" spans="2:22" x14ac:dyDescent="0.25">
      <c r="J223" s="190"/>
      <c r="K223" s="190"/>
      <c r="L223" s="190"/>
      <c r="M223" s="190"/>
      <c r="N223" s="190"/>
      <c r="O223" s="190"/>
      <c r="P223" s="190"/>
      <c r="Q223" s="190"/>
      <c r="R223" s="190"/>
      <c r="S223" s="190"/>
      <c r="T223" s="190"/>
      <c r="U223" s="190"/>
      <c r="V223" s="190"/>
    </row>
    <row r="224" spans="2:22" x14ac:dyDescent="0.25">
      <c r="J224" s="190"/>
      <c r="K224" s="190"/>
      <c r="L224" s="190"/>
      <c r="M224" s="190"/>
      <c r="N224" s="190"/>
      <c r="O224" s="190"/>
      <c r="P224" s="190"/>
      <c r="Q224" s="190"/>
      <c r="R224" s="190"/>
      <c r="S224" s="190"/>
      <c r="T224" s="190"/>
      <c r="U224" s="190"/>
      <c r="V224" s="190"/>
    </row>
    <row r="225" spans="1:22" x14ac:dyDescent="0.25">
      <c r="A225" s="300" t="s">
        <v>643</v>
      </c>
      <c r="B225" s="776" t="s">
        <v>575</v>
      </c>
      <c r="C225" s="778"/>
      <c r="J225" s="190"/>
      <c r="K225" s="190"/>
      <c r="L225" s="190"/>
      <c r="M225" s="190"/>
      <c r="N225" s="190"/>
      <c r="O225" s="190"/>
      <c r="P225" s="190"/>
      <c r="Q225" s="190"/>
      <c r="R225" s="190"/>
      <c r="S225" s="190"/>
      <c r="T225" s="190"/>
      <c r="U225" s="190"/>
      <c r="V225" s="190"/>
    </row>
    <row r="226" spans="1:22" x14ac:dyDescent="0.25">
      <c r="J226" s="190"/>
      <c r="K226" s="190"/>
      <c r="L226" s="190"/>
      <c r="M226" s="190"/>
      <c r="N226" s="190"/>
      <c r="O226" s="190"/>
      <c r="P226" s="190"/>
      <c r="Q226" s="190"/>
      <c r="R226" s="190"/>
      <c r="S226" s="190"/>
      <c r="T226" s="190"/>
      <c r="U226" s="190"/>
      <c r="V226" s="190"/>
    </row>
    <row r="227" spans="1:22" x14ac:dyDescent="0.25">
      <c r="B227" s="845" t="s">
        <v>583</v>
      </c>
      <c r="C227" s="839"/>
      <c r="D227" s="196" t="s">
        <v>301</v>
      </c>
      <c r="E227" s="202" t="s">
        <v>609</v>
      </c>
      <c r="J227" s="12" t="s">
        <v>0</v>
      </c>
      <c r="K227" s="12" t="s">
        <v>1</v>
      </c>
      <c r="L227" s="12" t="s">
        <v>49</v>
      </c>
      <c r="M227" s="12" t="s">
        <v>50</v>
      </c>
      <c r="N227" s="12" t="s">
        <v>51</v>
      </c>
      <c r="O227" s="12" t="s">
        <v>52</v>
      </c>
      <c r="P227" s="12" t="s">
        <v>53</v>
      </c>
      <c r="Q227" s="12" t="s">
        <v>54</v>
      </c>
      <c r="R227" s="12" t="s">
        <v>55</v>
      </c>
      <c r="S227" s="12" t="s">
        <v>56</v>
      </c>
      <c r="T227" s="12" t="s">
        <v>57</v>
      </c>
      <c r="U227" s="12" t="s">
        <v>58</v>
      </c>
      <c r="V227" s="190"/>
    </row>
    <row r="228" spans="1:22" x14ac:dyDescent="0.25">
      <c r="B228" s="492" t="s">
        <v>302</v>
      </c>
      <c r="C228" s="493"/>
      <c r="D228" s="494" t="s">
        <v>303</v>
      </c>
      <c r="E228" s="184">
        <v>3031.36</v>
      </c>
      <c r="J228" s="184"/>
      <c r="K228" s="184"/>
      <c r="L228" s="184"/>
      <c r="M228" s="184"/>
      <c r="N228" s="184"/>
      <c r="O228" s="184"/>
      <c r="P228" s="184"/>
      <c r="Q228" s="184"/>
      <c r="R228" s="184"/>
      <c r="S228" s="184"/>
      <c r="T228" s="184"/>
      <c r="U228" s="449">
        <f>E228</f>
        <v>3031.36</v>
      </c>
      <c r="V228" s="190"/>
    </row>
    <row r="229" spans="1:22" x14ac:dyDescent="0.25">
      <c r="B229" s="495" t="s">
        <v>304</v>
      </c>
      <c r="C229" s="496"/>
      <c r="D229" s="497" t="s">
        <v>305</v>
      </c>
      <c r="E229" s="184">
        <v>2881.36</v>
      </c>
      <c r="J229" s="184"/>
      <c r="K229" s="184"/>
      <c r="L229" s="184"/>
      <c r="M229" s="184"/>
      <c r="N229" s="184"/>
      <c r="O229" s="184"/>
      <c r="P229" s="184"/>
      <c r="Q229" s="184"/>
      <c r="R229" s="184"/>
      <c r="S229" s="184"/>
      <c r="T229" s="184"/>
      <c r="U229" s="184"/>
      <c r="V229" s="190"/>
    </row>
    <row r="230" spans="1:22" x14ac:dyDescent="0.25">
      <c r="A230" s="435"/>
      <c r="B230" s="435"/>
      <c r="C230" s="435"/>
      <c r="D230" s="498"/>
      <c r="E230" s="435"/>
      <c r="I230" s="300" t="s">
        <v>114</v>
      </c>
      <c r="J230" s="12">
        <f t="shared" ref="J230:U230" si="289">SUM(J228:J229)</f>
        <v>0</v>
      </c>
      <c r="K230" s="12">
        <f t="shared" si="289"/>
        <v>0</v>
      </c>
      <c r="L230" s="12">
        <f t="shared" si="289"/>
        <v>0</v>
      </c>
      <c r="M230" s="12">
        <f t="shared" si="289"/>
        <v>0</v>
      </c>
      <c r="N230" s="12">
        <f t="shared" si="289"/>
        <v>0</v>
      </c>
      <c r="O230" s="12">
        <f t="shared" si="289"/>
        <v>0</v>
      </c>
      <c r="P230" s="12">
        <f t="shared" si="289"/>
        <v>0</v>
      </c>
      <c r="Q230" s="12">
        <f t="shared" si="289"/>
        <v>0</v>
      </c>
      <c r="R230" s="12">
        <f t="shared" si="289"/>
        <v>0</v>
      </c>
      <c r="S230" s="12">
        <f t="shared" si="289"/>
        <v>0</v>
      </c>
      <c r="T230" s="12">
        <f t="shared" si="289"/>
        <v>0</v>
      </c>
      <c r="U230" s="12">
        <f t="shared" si="289"/>
        <v>3031.36</v>
      </c>
      <c r="V230" s="12">
        <f>SUM(J230:U230)</f>
        <v>3031.36</v>
      </c>
    </row>
    <row r="231" spans="1:22" x14ac:dyDescent="0.25">
      <c r="A231" s="435"/>
      <c r="B231" s="435"/>
      <c r="C231" s="435"/>
      <c r="D231" s="498"/>
      <c r="E231" s="435"/>
      <c r="I231" s="459"/>
      <c r="J231" s="192"/>
      <c r="K231" s="192"/>
      <c r="L231" s="192"/>
      <c r="M231" s="192"/>
      <c r="N231" s="192"/>
      <c r="O231" s="192"/>
      <c r="P231" s="192"/>
      <c r="Q231" s="192"/>
      <c r="R231" s="192"/>
      <c r="S231" s="192"/>
      <c r="T231" s="192"/>
      <c r="U231" s="192"/>
      <c r="V231" s="192"/>
    </row>
    <row r="232" spans="1:22" x14ac:dyDescent="0.25">
      <c r="A232" s="435"/>
      <c r="B232" s="435"/>
      <c r="C232" s="435"/>
      <c r="D232" s="498"/>
      <c r="E232" s="435"/>
      <c r="I232" s="459"/>
      <c r="J232" s="192"/>
      <c r="K232" s="192"/>
      <c r="L232" s="192"/>
      <c r="M232" s="192"/>
      <c r="N232" s="192"/>
      <c r="O232" s="192"/>
      <c r="P232" s="192"/>
      <c r="Q232" s="192"/>
      <c r="R232" s="192"/>
      <c r="S232" s="192"/>
      <c r="T232" s="192"/>
      <c r="U232" s="192"/>
      <c r="V232" s="192"/>
    </row>
    <row r="233" spans="1:22" x14ac:dyDescent="0.25">
      <c r="A233" s="435"/>
      <c r="B233" s="849"/>
      <c r="C233" s="849"/>
      <c r="D233" s="459"/>
      <c r="E233" s="435"/>
      <c r="J233" s="432" t="s">
        <v>2</v>
      </c>
      <c r="K233" s="432" t="s">
        <v>14</v>
      </c>
      <c r="L233" s="432" t="s">
        <v>15</v>
      </c>
      <c r="M233" s="432" t="s">
        <v>16</v>
      </c>
      <c r="N233" s="432" t="s">
        <v>17</v>
      </c>
      <c r="O233" s="432" t="s">
        <v>18</v>
      </c>
      <c r="P233" s="432" t="s">
        <v>19</v>
      </c>
      <c r="Q233" s="432" t="s">
        <v>20</v>
      </c>
      <c r="R233" s="457" t="s">
        <v>21</v>
      </c>
      <c r="S233" s="12" t="s">
        <v>22</v>
      </c>
      <c r="T233" s="192"/>
      <c r="U233" s="192"/>
      <c r="V233" s="192"/>
    </row>
    <row r="234" spans="1:22" x14ac:dyDescent="0.25">
      <c r="A234" s="435"/>
      <c r="B234" s="848"/>
      <c r="C234" s="848"/>
      <c r="D234" s="498"/>
      <c r="E234" s="435"/>
      <c r="J234" s="184">
        <f>$V$230</f>
        <v>3031.36</v>
      </c>
      <c r="K234" s="184">
        <f t="shared" ref="K234:S234" si="290">$V$230</f>
        <v>3031.36</v>
      </c>
      <c r="L234" s="184">
        <f t="shared" si="290"/>
        <v>3031.36</v>
      </c>
      <c r="M234" s="184">
        <f t="shared" si="290"/>
        <v>3031.36</v>
      </c>
      <c r="N234" s="184">
        <f t="shared" si="290"/>
        <v>3031.36</v>
      </c>
      <c r="O234" s="184">
        <f t="shared" si="290"/>
        <v>3031.36</v>
      </c>
      <c r="P234" s="184">
        <f t="shared" si="290"/>
        <v>3031.36</v>
      </c>
      <c r="Q234" s="184">
        <f t="shared" si="290"/>
        <v>3031.36</v>
      </c>
      <c r="R234" s="184">
        <f t="shared" si="290"/>
        <v>3031.36</v>
      </c>
      <c r="S234" s="184">
        <f t="shared" si="290"/>
        <v>3031.36</v>
      </c>
      <c r="T234" s="192"/>
      <c r="U234" s="192"/>
      <c r="V234" s="192"/>
    </row>
    <row r="235" spans="1:22" x14ac:dyDescent="0.25">
      <c r="A235" s="435"/>
      <c r="B235" s="848"/>
      <c r="C235" s="848"/>
      <c r="D235" s="498"/>
      <c r="E235" s="435"/>
      <c r="J235" s="184"/>
      <c r="K235" s="184">
        <f t="shared" ref="K235:S235" si="291">$E$229</f>
        <v>2881.36</v>
      </c>
      <c r="L235" s="184">
        <f t="shared" si="291"/>
        <v>2881.36</v>
      </c>
      <c r="M235" s="184">
        <f t="shared" si="291"/>
        <v>2881.36</v>
      </c>
      <c r="N235" s="184">
        <f t="shared" si="291"/>
        <v>2881.36</v>
      </c>
      <c r="O235" s="184">
        <f t="shared" si="291"/>
        <v>2881.36</v>
      </c>
      <c r="P235" s="184">
        <f t="shared" si="291"/>
        <v>2881.36</v>
      </c>
      <c r="Q235" s="184">
        <f t="shared" si="291"/>
        <v>2881.36</v>
      </c>
      <c r="R235" s="184">
        <f t="shared" si="291"/>
        <v>2881.36</v>
      </c>
      <c r="S235" s="184">
        <f t="shared" si="291"/>
        <v>2881.36</v>
      </c>
      <c r="T235" s="192"/>
      <c r="U235" s="192"/>
      <c r="V235" s="192"/>
    </row>
    <row r="236" spans="1:22" x14ac:dyDescent="0.25">
      <c r="A236" s="435"/>
      <c r="B236" s="435"/>
      <c r="C236" s="435"/>
      <c r="D236" s="498"/>
      <c r="E236" s="435"/>
      <c r="I236" s="300" t="s">
        <v>114</v>
      </c>
      <c r="J236" s="453">
        <f>SUM(J234:J235)</f>
        <v>3031.36</v>
      </c>
      <c r="K236" s="453">
        <f t="shared" ref="K236:S236" si="292">SUM(K234:K235)</f>
        <v>5912.72</v>
      </c>
      <c r="L236" s="453">
        <f t="shared" si="292"/>
        <v>5912.72</v>
      </c>
      <c r="M236" s="453">
        <f t="shared" si="292"/>
        <v>5912.72</v>
      </c>
      <c r="N236" s="453">
        <f t="shared" si="292"/>
        <v>5912.72</v>
      </c>
      <c r="O236" s="453">
        <f t="shared" si="292"/>
        <v>5912.72</v>
      </c>
      <c r="P236" s="453">
        <f t="shared" si="292"/>
        <v>5912.72</v>
      </c>
      <c r="Q236" s="453">
        <f t="shared" si="292"/>
        <v>5912.72</v>
      </c>
      <c r="R236" s="453">
        <f t="shared" si="292"/>
        <v>5912.72</v>
      </c>
      <c r="S236" s="453">
        <f t="shared" si="292"/>
        <v>5912.72</v>
      </c>
      <c r="T236" s="190"/>
      <c r="U236" s="190"/>
      <c r="V236" s="190"/>
    </row>
    <row r="237" spans="1:22" x14ac:dyDescent="0.25">
      <c r="A237" s="435"/>
      <c r="B237" s="435"/>
      <c r="C237" s="435"/>
      <c r="D237" s="435"/>
      <c r="E237" s="435"/>
      <c r="I237" s="459"/>
      <c r="J237" s="230"/>
      <c r="K237" s="230"/>
      <c r="L237" s="230"/>
      <c r="M237" s="230"/>
      <c r="N237" s="230"/>
      <c r="O237" s="230"/>
      <c r="P237" s="230"/>
      <c r="Q237" s="230"/>
      <c r="R237" s="230"/>
      <c r="S237" s="230"/>
      <c r="T237" s="190"/>
      <c r="U237" s="190"/>
      <c r="V237" s="190"/>
    </row>
    <row r="238" spans="1:22" x14ac:dyDescent="0.25">
      <c r="J238" s="190"/>
      <c r="K238" s="190"/>
      <c r="L238" s="190"/>
      <c r="M238" s="190"/>
      <c r="N238" s="190"/>
      <c r="O238" s="190"/>
      <c r="P238" s="190"/>
      <c r="Q238" s="190"/>
      <c r="R238" s="190"/>
      <c r="S238" s="190"/>
      <c r="T238" s="190"/>
      <c r="U238" s="190"/>
      <c r="V238" s="190"/>
    </row>
    <row r="239" spans="1:22" x14ac:dyDescent="0.25">
      <c r="A239" s="300" t="s">
        <v>644</v>
      </c>
      <c r="B239" s="301" t="s">
        <v>576</v>
      </c>
      <c r="C239" s="302"/>
      <c r="J239" s="190"/>
      <c r="K239" s="190"/>
      <c r="L239" s="190"/>
      <c r="M239" s="190"/>
      <c r="N239" s="190"/>
      <c r="O239" s="190"/>
      <c r="P239" s="190"/>
      <c r="Q239" s="190"/>
      <c r="R239" s="190"/>
      <c r="S239" s="190"/>
      <c r="T239" s="190"/>
      <c r="U239" s="190"/>
      <c r="V239" s="190"/>
    </row>
    <row r="240" spans="1:22" x14ac:dyDescent="0.25">
      <c r="B240" s="480"/>
      <c r="J240" s="190"/>
      <c r="K240" s="190"/>
      <c r="L240" s="190"/>
      <c r="M240" s="190"/>
      <c r="N240" s="190"/>
      <c r="O240" s="190"/>
      <c r="P240" s="190"/>
      <c r="Q240" s="190"/>
      <c r="R240" s="190"/>
      <c r="S240" s="190"/>
      <c r="T240" s="190"/>
      <c r="U240" s="190"/>
      <c r="V240" s="190"/>
    </row>
    <row r="241" spans="1:22" x14ac:dyDescent="0.25">
      <c r="B241" s="196" t="s">
        <v>583</v>
      </c>
      <c r="C241" s="196" t="s">
        <v>306</v>
      </c>
      <c r="D241" s="196" t="s">
        <v>307</v>
      </c>
      <c r="E241" s="196" t="s">
        <v>180</v>
      </c>
      <c r="J241" s="12" t="s">
        <v>0</v>
      </c>
      <c r="K241" s="12" t="s">
        <v>1</v>
      </c>
      <c r="L241" s="12" t="s">
        <v>49</v>
      </c>
      <c r="M241" s="12" t="s">
        <v>50</v>
      </c>
      <c r="N241" s="12" t="s">
        <v>51</v>
      </c>
      <c r="O241" s="12" t="s">
        <v>52</v>
      </c>
      <c r="P241" s="12" t="s">
        <v>53</v>
      </c>
      <c r="Q241" s="12" t="s">
        <v>54</v>
      </c>
      <c r="R241" s="12" t="s">
        <v>55</v>
      </c>
      <c r="S241" s="12" t="s">
        <v>56</v>
      </c>
      <c r="T241" s="12" t="s">
        <v>57</v>
      </c>
      <c r="U241" s="12" t="s">
        <v>58</v>
      </c>
      <c r="V241" s="190"/>
    </row>
    <row r="242" spans="1:22" x14ac:dyDescent="0.25">
      <c r="B242" s="460" t="s">
        <v>308</v>
      </c>
      <c r="C242" s="184">
        <v>1</v>
      </c>
      <c r="D242" s="184">
        <v>600</v>
      </c>
      <c r="E242" s="191" t="s">
        <v>126</v>
      </c>
      <c r="J242" s="448"/>
      <c r="K242" s="448"/>
      <c r="L242" s="448"/>
      <c r="M242" s="448"/>
      <c r="N242" s="448"/>
      <c r="O242" s="448">
        <f>D242</f>
        <v>600</v>
      </c>
      <c r="P242" s="448"/>
      <c r="Q242" s="448"/>
      <c r="R242" s="448"/>
      <c r="S242" s="448"/>
      <c r="T242" s="448"/>
      <c r="U242" s="448">
        <f>D242</f>
        <v>600</v>
      </c>
      <c r="V242" s="190"/>
    </row>
    <row r="243" spans="1:22" x14ac:dyDescent="0.25">
      <c r="B243" s="460" t="s">
        <v>309</v>
      </c>
      <c r="C243" s="184">
        <v>1</v>
      </c>
      <c r="D243" s="184">
        <v>650</v>
      </c>
      <c r="E243" s="191" t="s">
        <v>126</v>
      </c>
      <c r="J243" s="461"/>
      <c r="K243" s="461"/>
      <c r="L243" s="461"/>
      <c r="M243" s="461"/>
      <c r="N243" s="461"/>
      <c r="O243" s="461">
        <f>D243</f>
        <v>650</v>
      </c>
      <c r="P243" s="461"/>
      <c r="Q243" s="461"/>
      <c r="R243" s="461"/>
      <c r="S243" s="461"/>
      <c r="T243" s="461"/>
      <c r="U243" s="461">
        <f>D243</f>
        <v>650</v>
      </c>
      <c r="V243" s="190"/>
    </row>
    <row r="244" spans="1:22" x14ac:dyDescent="0.25">
      <c r="I244" s="300" t="s">
        <v>114</v>
      </c>
      <c r="J244" s="12">
        <f>SUM(J242:J243)</f>
        <v>0</v>
      </c>
      <c r="K244" s="12">
        <f t="shared" ref="K244:U244" si="293">SUM(K242:K243)</f>
        <v>0</v>
      </c>
      <c r="L244" s="12">
        <f t="shared" si="293"/>
        <v>0</v>
      </c>
      <c r="M244" s="12">
        <f t="shared" si="293"/>
        <v>0</v>
      </c>
      <c r="N244" s="12">
        <f t="shared" si="293"/>
        <v>0</v>
      </c>
      <c r="O244" s="12">
        <f t="shared" si="293"/>
        <v>1250</v>
      </c>
      <c r="P244" s="12">
        <f t="shared" si="293"/>
        <v>0</v>
      </c>
      <c r="Q244" s="12">
        <f t="shared" si="293"/>
        <v>0</v>
      </c>
      <c r="R244" s="12">
        <f t="shared" si="293"/>
        <v>0</v>
      </c>
      <c r="S244" s="12">
        <f t="shared" si="293"/>
        <v>0</v>
      </c>
      <c r="T244" s="12">
        <f t="shared" si="293"/>
        <v>0</v>
      </c>
      <c r="U244" s="12">
        <f t="shared" si="293"/>
        <v>1250</v>
      </c>
      <c r="V244" s="12">
        <f>SUM(J244:U244)</f>
        <v>2500</v>
      </c>
    </row>
    <row r="245" spans="1:22" x14ac:dyDescent="0.25">
      <c r="I245" s="459"/>
      <c r="J245" s="192"/>
      <c r="K245" s="192"/>
      <c r="L245" s="192"/>
      <c r="M245" s="192"/>
      <c r="N245" s="192"/>
      <c r="O245" s="192"/>
      <c r="P245" s="192"/>
      <c r="Q245" s="192"/>
      <c r="R245" s="192"/>
      <c r="S245" s="192"/>
      <c r="T245" s="192"/>
      <c r="U245" s="192"/>
      <c r="V245" s="192"/>
    </row>
    <row r="246" spans="1:22" x14ac:dyDescent="0.25">
      <c r="I246" s="459"/>
      <c r="J246" s="192"/>
      <c r="K246" s="192"/>
      <c r="L246" s="192"/>
      <c r="M246" s="192"/>
      <c r="N246" s="192"/>
      <c r="O246" s="192"/>
      <c r="P246" s="192"/>
      <c r="Q246" s="192"/>
      <c r="R246" s="192"/>
      <c r="S246" s="192"/>
      <c r="T246" s="192"/>
      <c r="U246" s="192"/>
      <c r="V246" s="192"/>
    </row>
    <row r="247" spans="1:22" x14ac:dyDescent="0.25">
      <c r="A247" s="435"/>
      <c r="B247" s="459"/>
      <c r="C247" s="459"/>
      <c r="D247" s="459"/>
      <c r="E247" s="459"/>
      <c r="F247" s="435"/>
      <c r="J247" s="432" t="s">
        <v>2</v>
      </c>
      <c r="K247" s="432" t="s">
        <v>14</v>
      </c>
      <c r="L247" s="432" t="s">
        <v>15</v>
      </c>
      <c r="M247" s="432" t="s">
        <v>16</v>
      </c>
      <c r="N247" s="432" t="s">
        <v>17</v>
      </c>
      <c r="O247" s="432" t="s">
        <v>18</v>
      </c>
      <c r="P247" s="432" t="s">
        <v>19</v>
      </c>
      <c r="Q247" s="432" t="s">
        <v>20</v>
      </c>
      <c r="R247" s="457" t="s">
        <v>21</v>
      </c>
      <c r="S247" s="12" t="s">
        <v>22</v>
      </c>
      <c r="T247" s="192"/>
      <c r="U247" s="192"/>
      <c r="V247" s="192"/>
    </row>
    <row r="248" spans="1:22" x14ac:dyDescent="0.25">
      <c r="A248" s="435"/>
      <c r="B248" s="435"/>
      <c r="C248" s="230"/>
      <c r="D248" s="230"/>
      <c r="E248" s="435"/>
      <c r="F248" s="435"/>
      <c r="J248" s="184">
        <f>$V$244</f>
        <v>2500</v>
      </c>
      <c r="K248" s="184">
        <f t="shared" ref="K248:S248" si="294">$V$244</f>
        <v>2500</v>
      </c>
      <c r="L248" s="184">
        <f t="shared" si="294"/>
        <v>2500</v>
      </c>
      <c r="M248" s="184">
        <f t="shared" si="294"/>
        <v>2500</v>
      </c>
      <c r="N248" s="184">
        <f t="shared" si="294"/>
        <v>2500</v>
      </c>
      <c r="O248" s="184">
        <f t="shared" si="294"/>
        <v>2500</v>
      </c>
      <c r="P248" s="184">
        <f t="shared" si="294"/>
        <v>2500</v>
      </c>
      <c r="Q248" s="184">
        <f t="shared" si="294"/>
        <v>2500</v>
      </c>
      <c r="R248" s="184">
        <f t="shared" si="294"/>
        <v>2500</v>
      </c>
      <c r="S248" s="184">
        <f t="shared" si="294"/>
        <v>2500</v>
      </c>
      <c r="T248" s="192"/>
      <c r="U248" s="192"/>
      <c r="V248" s="192"/>
    </row>
    <row r="249" spans="1:22" x14ac:dyDescent="0.25">
      <c r="A249" s="435"/>
      <c r="B249" s="435"/>
      <c r="C249" s="230"/>
      <c r="D249" s="230"/>
      <c r="E249" s="435"/>
      <c r="F249" s="435"/>
      <c r="J249" s="184"/>
      <c r="K249" s="184"/>
      <c r="L249" s="184"/>
      <c r="M249" s="184"/>
      <c r="N249" s="184"/>
      <c r="O249" s="184"/>
      <c r="P249" s="184"/>
      <c r="Q249" s="184"/>
      <c r="R249" s="184"/>
      <c r="S249" s="184"/>
      <c r="T249" s="192"/>
      <c r="U249" s="192"/>
      <c r="V249" s="192"/>
    </row>
    <row r="250" spans="1:22" x14ac:dyDescent="0.25">
      <c r="A250" s="435"/>
      <c r="B250" s="435"/>
      <c r="C250" s="435"/>
      <c r="D250" s="435"/>
      <c r="E250" s="435"/>
      <c r="F250" s="435"/>
      <c r="I250" s="300" t="s">
        <v>114</v>
      </c>
      <c r="J250" s="453">
        <f>SUM(J248:J249)</f>
        <v>2500</v>
      </c>
      <c r="K250" s="453">
        <f t="shared" ref="K250:S250" si="295">SUM(K248:K249)</f>
        <v>2500</v>
      </c>
      <c r="L250" s="453">
        <f t="shared" si="295"/>
        <v>2500</v>
      </c>
      <c r="M250" s="453">
        <f t="shared" si="295"/>
        <v>2500</v>
      </c>
      <c r="N250" s="453">
        <f t="shared" si="295"/>
        <v>2500</v>
      </c>
      <c r="O250" s="453">
        <f t="shared" si="295"/>
        <v>2500</v>
      </c>
      <c r="P250" s="453">
        <f t="shared" si="295"/>
        <v>2500</v>
      </c>
      <c r="Q250" s="453">
        <f t="shared" si="295"/>
        <v>2500</v>
      </c>
      <c r="R250" s="453">
        <f t="shared" si="295"/>
        <v>2500</v>
      </c>
      <c r="S250" s="453">
        <f t="shared" si="295"/>
        <v>2500</v>
      </c>
      <c r="T250" s="192"/>
      <c r="U250" s="192"/>
      <c r="V250" s="192"/>
    </row>
    <row r="251" spans="1:22" x14ac:dyDescent="0.25">
      <c r="I251" s="459"/>
      <c r="J251" s="192"/>
      <c r="K251" s="192"/>
      <c r="L251" s="192"/>
      <c r="M251" s="192"/>
      <c r="N251" s="192"/>
      <c r="O251" s="192"/>
      <c r="P251" s="192"/>
      <c r="Q251" s="192"/>
      <c r="R251" s="192"/>
      <c r="S251" s="192"/>
      <c r="T251" s="192"/>
      <c r="U251" s="192"/>
      <c r="V251" s="192"/>
    </row>
    <row r="252" spans="1:22" x14ac:dyDescent="0.25">
      <c r="I252" s="459"/>
      <c r="J252" s="192"/>
      <c r="K252" s="192"/>
      <c r="L252" s="192"/>
      <c r="M252" s="192"/>
      <c r="N252" s="192"/>
      <c r="O252" s="192"/>
      <c r="P252" s="192"/>
      <c r="Q252" s="192"/>
      <c r="R252" s="192"/>
      <c r="S252" s="192"/>
      <c r="T252" s="192"/>
      <c r="U252" s="192"/>
      <c r="V252" s="192"/>
    </row>
    <row r="253" spans="1:22" x14ac:dyDescent="0.25">
      <c r="A253" s="300" t="s">
        <v>645</v>
      </c>
      <c r="B253" s="301" t="s">
        <v>577</v>
      </c>
      <c r="C253" s="302"/>
      <c r="T253" s="190"/>
      <c r="U253" s="190"/>
      <c r="V253" s="190"/>
    </row>
    <row r="254" spans="1:22" x14ac:dyDescent="0.25">
      <c r="A254" s="435"/>
      <c r="B254" s="435"/>
      <c r="C254" s="435"/>
      <c r="D254" s="435"/>
      <c r="J254" s="432" t="s">
        <v>2</v>
      </c>
      <c r="K254" s="432" t="s">
        <v>14</v>
      </c>
      <c r="L254" s="432" t="s">
        <v>15</v>
      </c>
      <c r="M254" s="432" t="s">
        <v>16</v>
      </c>
      <c r="N254" s="432" t="s">
        <v>17</v>
      </c>
      <c r="O254" s="432" t="s">
        <v>18</v>
      </c>
      <c r="P254" s="432" t="s">
        <v>19</v>
      </c>
      <c r="Q254" s="432" t="s">
        <v>20</v>
      </c>
      <c r="R254" s="457" t="s">
        <v>21</v>
      </c>
      <c r="S254" s="12" t="s">
        <v>22</v>
      </c>
      <c r="T254" s="190"/>
      <c r="U254" s="190"/>
      <c r="V254" s="190"/>
    </row>
    <row r="255" spans="1:22" x14ac:dyDescent="0.25">
      <c r="B255" s="325" t="s">
        <v>563</v>
      </c>
      <c r="C255" s="184">
        <v>1</v>
      </c>
      <c r="D255" s="184">
        <v>200</v>
      </c>
      <c r="J255" s="184"/>
      <c r="K255" s="184">
        <f>D255*1</f>
        <v>200</v>
      </c>
      <c r="L255" s="184">
        <f>D255*1</f>
        <v>200</v>
      </c>
      <c r="M255" s="184">
        <f>D255*1</f>
        <v>200</v>
      </c>
      <c r="N255" s="184">
        <f>D255*2</f>
        <v>400</v>
      </c>
      <c r="O255" s="184"/>
      <c r="P255" s="184">
        <f>D255*1</f>
        <v>200</v>
      </c>
      <c r="Q255" s="184">
        <f>D255*1</f>
        <v>200</v>
      </c>
      <c r="R255" s="462"/>
      <c r="S255" s="184"/>
      <c r="T255" s="190"/>
      <c r="U255" s="190"/>
      <c r="V255" s="190"/>
    </row>
    <row r="256" spans="1:22" x14ac:dyDescent="0.25">
      <c r="B256" s="325" t="s">
        <v>564</v>
      </c>
      <c r="C256" s="184">
        <v>1</v>
      </c>
      <c r="D256" s="184">
        <v>584.75</v>
      </c>
      <c r="J256" s="184"/>
      <c r="K256" s="184">
        <f>D256*1</f>
        <v>584.75</v>
      </c>
      <c r="L256" s="184">
        <f>D256*1</f>
        <v>584.75</v>
      </c>
      <c r="M256" s="184">
        <f>D256*1</f>
        <v>584.75</v>
      </c>
      <c r="N256" s="184">
        <f>D256*2</f>
        <v>1169.5</v>
      </c>
      <c r="O256" s="184"/>
      <c r="P256" s="184">
        <f>D256*1</f>
        <v>584.75</v>
      </c>
      <c r="Q256" s="184">
        <f>D256*1</f>
        <v>584.75</v>
      </c>
      <c r="R256" s="462"/>
      <c r="S256" s="184"/>
      <c r="T256" s="190"/>
      <c r="U256" s="190"/>
      <c r="V256" s="190"/>
    </row>
    <row r="257" spans="1:22" x14ac:dyDescent="0.25">
      <c r="I257" s="300" t="s">
        <v>114</v>
      </c>
      <c r="J257" s="453">
        <f>SUM(J255:J256)</f>
        <v>0</v>
      </c>
      <c r="K257" s="453">
        <f t="shared" ref="K257:S257" si="296">SUM(K255:K256)</f>
        <v>784.75</v>
      </c>
      <c r="L257" s="453">
        <f t="shared" si="296"/>
        <v>784.75</v>
      </c>
      <c r="M257" s="453">
        <f t="shared" si="296"/>
        <v>784.75</v>
      </c>
      <c r="N257" s="453">
        <f t="shared" si="296"/>
        <v>1569.5</v>
      </c>
      <c r="O257" s="453">
        <f t="shared" si="296"/>
        <v>0</v>
      </c>
      <c r="P257" s="453">
        <f t="shared" si="296"/>
        <v>784.75</v>
      </c>
      <c r="Q257" s="453">
        <f t="shared" si="296"/>
        <v>784.75</v>
      </c>
      <c r="R257" s="453">
        <f t="shared" si="296"/>
        <v>0</v>
      </c>
      <c r="S257" s="453">
        <f t="shared" si="296"/>
        <v>0</v>
      </c>
      <c r="T257" s="190"/>
      <c r="U257" s="190"/>
      <c r="V257" s="190"/>
    </row>
    <row r="258" spans="1:22" x14ac:dyDescent="0.25">
      <c r="J258" s="190"/>
      <c r="K258" s="190"/>
      <c r="L258" s="190"/>
      <c r="M258" s="190"/>
      <c r="N258" s="190"/>
      <c r="O258" s="190"/>
      <c r="P258" s="190"/>
      <c r="Q258" s="190"/>
      <c r="R258" s="190"/>
      <c r="S258" s="190"/>
      <c r="T258" s="190"/>
      <c r="U258" s="190"/>
      <c r="V258" s="190"/>
    </row>
    <row r="259" spans="1:22" x14ac:dyDescent="0.25">
      <c r="J259" s="190"/>
      <c r="K259" s="190"/>
      <c r="L259" s="190"/>
      <c r="M259" s="190"/>
      <c r="N259" s="190"/>
      <c r="O259" s="190"/>
      <c r="P259" s="190"/>
      <c r="Q259" s="190"/>
      <c r="R259" s="190"/>
      <c r="S259" s="190"/>
      <c r="T259" s="190"/>
      <c r="U259" s="190"/>
      <c r="V259" s="190"/>
    </row>
    <row r="260" spans="1:22" x14ac:dyDescent="0.25">
      <c r="A260" s="300" t="s">
        <v>646</v>
      </c>
      <c r="B260" s="301" t="s">
        <v>578</v>
      </c>
      <c r="C260" s="302"/>
      <c r="T260" s="190"/>
      <c r="U260" s="190"/>
      <c r="V260" s="190"/>
    </row>
    <row r="261" spans="1:22" x14ac:dyDescent="0.25">
      <c r="A261" s="435"/>
      <c r="B261" s="435"/>
      <c r="C261" s="435"/>
      <c r="J261" s="432" t="s">
        <v>2</v>
      </c>
      <c r="K261" s="432" t="s">
        <v>14</v>
      </c>
      <c r="L261" s="432" t="s">
        <v>15</v>
      </c>
      <c r="M261" s="432" t="s">
        <v>16</v>
      </c>
      <c r="N261" s="432" t="s">
        <v>17</v>
      </c>
      <c r="O261" s="432" t="s">
        <v>18</v>
      </c>
      <c r="P261" s="432" t="s">
        <v>19</v>
      </c>
      <c r="Q261" s="432" t="s">
        <v>20</v>
      </c>
      <c r="R261" s="457" t="s">
        <v>21</v>
      </c>
      <c r="S261" s="458" t="s">
        <v>22</v>
      </c>
      <c r="T261" s="190"/>
      <c r="U261" s="190"/>
      <c r="V261" s="190"/>
    </row>
    <row r="262" spans="1:22" x14ac:dyDescent="0.25">
      <c r="B262" s="465" t="s">
        <v>565</v>
      </c>
      <c r="C262" s="184">
        <v>1</v>
      </c>
      <c r="D262" s="184">
        <v>235</v>
      </c>
      <c r="J262" s="184">
        <f>D262*2</f>
        <v>470</v>
      </c>
      <c r="K262" s="184">
        <f>$D$262</f>
        <v>235</v>
      </c>
      <c r="L262" s="184">
        <f>$D$262</f>
        <v>235</v>
      </c>
      <c r="M262" s="184">
        <f>$D$262</f>
        <v>235</v>
      </c>
      <c r="N262" s="184">
        <f>D262*2</f>
        <v>470</v>
      </c>
      <c r="O262" s="184"/>
      <c r="P262" s="184">
        <f>D262*1</f>
        <v>235</v>
      </c>
      <c r="Q262" s="184">
        <f>D262*1</f>
        <v>235</v>
      </c>
      <c r="R262" s="184"/>
      <c r="S262" s="184"/>
      <c r="T262" s="190"/>
      <c r="U262" s="190"/>
      <c r="V262" s="190"/>
    </row>
    <row r="263" spans="1:22" x14ac:dyDescent="0.25">
      <c r="I263" s="300" t="s">
        <v>114</v>
      </c>
      <c r="J263" s="453">
        <f t="shared" ref="J263:S263" si="297">SUM(J261:J262)</f>
        <v>470</v>
      </c>
      <c r="K263" s="453">
        <f t="shared" si="297"/>
        <v>235</v>
      </c>
      <c r="L263" s="453">
        <f t="shared" si="297"/>
        <v>235</v>
      </c>
      <c r="M263" s="453">
        <f t="shared" si="297"/>
        <v>235</v>
      </c>
      <c r="N263" s="453">
        <f t="shared" si="297"/>
        <v>470</v>
      </c>
      <c r="O263" s="453">
        <f t="shared" si="297"/>
        <v>0</v>
      </c>
      <c r="P263" s="453">
        <f t="shared" si="297"/>
        <v>235</v>
      </c>
      <c r="Q263" s="453">
        <f t="shared" si="297"/>
        <v>235</v>
      </c>
      <c r="R263" s="453">
        <f t="shared" si="297"/>
        <v>0</v>
      </c>
      <c r="S263" s="453">
        <f t="shared" si="297"/>
        <v>0</v>
      </c>
      <c r="T263" s="190"/>
      <c r="U263" s="190"/>
      <c r="V263" s="190"/>
    </row>
    <row r="264" spans="1:22" x14ac:dyDescent="0.25">
      <c r="I264" s="459"/>
      <c r="J264" s="230"/>
      <c r="K264" s="230"/>
      <c r="L264" s="230"/>
      <c r="M264" s="230"/>
      <c r="N264" s="230"/>
      <c r="O264" s="230"/>
      <c r="P264" s="230"/>
      <c r="Q264" s="230"/>
      <c r="R264" s="230"/>
      <c r="S264" s="230"/>
      <c r="T264" s="190"/>
      <c r="U264" s="190"/>
      <c r="V264" s="190"/>
    </row>
    <row r="265" spans="1:22" x14ac:dyDescent="0.25">
      <c r="J265" s="190"/>
      <c r="K265" s="190"/>
      <c r="L265" s="190"/>
      <c r="M265" s="190"/>
      <c r="N265" s="190"/>
      <c r="O265" s="190"/>
      <c r="P265" s="190"/>
      <c r="Q265" s="190"/>
      <c r="R265" s="190"/>
      <c r="S265" s="190"/>
      <c r="T265" s="230"/>
      <c r="U265" s="230"/>
      <c r="V265" s="190"/>
    </row>
    <row r="266" spans="1:22" x14ac:dyDescent="0.25">
      <c r="A266" s="300" t="s">
        <v>647</v>
      </c>
      <c r="B266" s="5" t="s">
        <v>580</v>
      </c>
      <c r="C266" s="302"/>
      <c r="D266" s="488"/>
      <c r="J266" s="190"/>
      <c r="K266" s="190"/>
      <c r="L266" s="190"/>
      <c r="M266" s="190"/>
      <c r="N266" s="190"/>
      <c r="O266" s="190"/>
      <c r="P266" s="190"/>
      <c r="Q266" s="190"/>
      <c r="R266" s="190"/>
      <c r="S266" s="190"/>
      <c r="T266" s="230"/>
      <c r="U266" s="230"/>
      <c r="V266" s="190"/>
    </row>
    <row r="267" spans="1:22" x14ac:dyDescent="0.25">
      <c r="B267" s="480"/>
      <c r="C267" s="480"/>
      <c r="J267" s="190"/>
      <c r="K267" s="190"/>
      <c r="L267" s="190"/>
      <c r="M267" s="190"/>
      <c r="N267" s="190"/>
      <c r="O267" s="190"/>
      <c r="P267" s="190"/>
      <c r="Q267" s="190"/>
      <c r="R267" s="190"/>
      <c r="S267" s="190"/>
      <c r="T267" s="230"/>
      <c r="U267" s="230"/>
      <c r="V267" s="190"/>
    </row>
    <row r="268" spans="1:22" x14ac:dyDescent="0.25">
      <c r="B268" s="845" t="s">
        <v>141</v>
      </c>
      <c r="C268" s="839"/>
      <c r="D268" s="196" t="s">
        <v>285</v>
      </c>
      <c r="J268" s="432" t="s">
        <v>2</v>
      </c>
      <c r="K268" s="432" t="s">
        <v>14</v>
      </c>
      <c r="L268" s="432" t="s">
        <v>15</v>
      </c>
      <c r="M268" s="432" t="s">
        <v>16</v>
      </c>
      <c r="N268" s="432" t="s">
        <v>17</v>
      </c>
      <c r="O268" s="432" t="s">
        <v>18</v>
      </c>
      <c r="P268" s="432" t="s">
        <v>19</v>
      </c>
      <c r="Q268" s="432" t="s">
        <v>20</v>
      </c>
      <c r="R268" s="457" t="s">
        <v>21</v>
      </c>
      <c r="S268" s="12" t="s">
        <v>22</v>
      </c>
      <c r="T268" s="192"/>
      <c r="U268" s="230"/>
      <c r="V268" s="190"/>
    </row>
    <row r="269" spans="1:22" x14ac:dyDescent="0.25">
      <c r="B269" s="846" t="s">
        <v>581</v>
      </c>
      <c r="C269" s="847"/>
      <c r="D269" s="499" t="s">
        <v>285</v>
      </c>
      <c r="J269" s="184">
        <f t="shared" ref="J269:S269" si="298">J222</f>
        <v>3200</v>
      </c>
      <c r="K269" s="184">
        <f t="shared" si="298"/>
        <v>14708.199999999999</v>
      </c>
      <c r="L269" s="184">
        <f t="shared" si="298"/>
        <v>15348.199999999999</v>
      </c>
      <c r="M269" s="184">
        <f t="shared" si="298"/>
        <v>15348.199999999999</v>
      </c>
      <c r="N269" s="184">
        <f t="shared" si="298"/>
        <v>15988.199999999999</v>
      </c>
      <c r="O269" s="184">
        <f t="shared" si="298"/>
        <v>15988.199999999999</v>
      </c>
      <c r="P269" s="184">
        <f t="shared" si="298"/>
        <v>15988.199999999999</v>
      </c>
      <c r="Q269" s="184">
        <f t="shared" si="298"/>
        <v>16628.199999999997</v>
      </c>
      <c r="R269" s="184">
        <f t="shared" si="298"/>
        <v>16628.199999999997</v>
      </c>
      <c r="S269" s="184">
        <f t="shared" si="298"/>
        <v>16628.199999999997</v>
      </c>
      <c r="T269" s="230"/>
      <c r="U269" s="230"/>
      <c r="V269" s="190"/>
    </row>
    <row r="270" spans="1:22" x14ac:dyDescent="0.25">
      <c r="B270" s="846" t="s">
        <v>582</v>
      </c>
      <c r="C270" s="847"/>
      <c r="D270" s="499" t="s">
        <v>285</v>
      </c>
      <c r="J270" s="184">
        <f>J236</f>
        <v>3031.36</v>
      </c>
      <c r="K270" s="184">
        <f t="shared" ref="K270:S270" si="299">K236</f>
        <v>5912.72</v>
      </c>
      <c r="L270" s="184">
        <f t="shared" si="299"/>
        <v>5912.72</v>
      </c>
      <c r="M270" s="184">
        <f t="shared" si="299"/>
        <v>5912.72</v>
      </c>
      <c r="N270" s="184">
        <f t="shared" si="299"/>
        <v>5912.72</v>
      </c>
      <c r="O270" s="184">
        <f t="shared" si="299"/>
        <v>5912.72</v>
      </c>
      <c r="P270" s="184">
        <f t="shared" si="299"/>
        <v>5912.72</v>
      </c>
      <c r="Q270" s="184">
        <f t="shared" si="299"/>
        <v>5912.72</v>
      </c>
      <c r="R270" s="184">
        <f t="shared" si="299"/>
        <v>5912.72</v>
      </c>
      <c r="S270" s="184">
        <f t="shared" si="299"/>
        <v>5912.72</v>
      </c>
      <c r="T270" s="230"/>
      <c r="U270" s="230"/>
      <c r="V270" s="190"/>
    </row>
    <row r="271" spans="1:22" x14ac:dyDescent="0.25">
      <c r="B271" s="846" t="s">
        <v>420</v>
      </c>
      <c r="C271" s="847"/>
      <c r="D271" s="499" t="s">
        <v>285</v>
      </c>
      <c r="I271" s="190"/>
      <c r="J271" s="184">
        <f>J250</f>
        <v>2500</v>
      </c>
      <c r="K271" s="184">
        <f t="shared" ref="K271:S271" si="300">K250</f>
        <v>2500</v>
      </c>
      <c r="L271" s="184">
        <f t="shared" si="300"/>
        <v>2500</v>
      </c>
      <c r="M271" s="184">
        <f t="shared" si="300"/>
        <v>2500</v>
      </c>
      <c r="N271" s="184">
        <f t="shared" si="300"/>
        <v>2500</v>
      </c>
      <c r="O271" s="184">
        <f t="shared" si="300"/>
        <v>2500</v>
      </c>
      <c r="P271" s="184">
        <f t="shared" si="300"/>
        <v>2500</v>
      </c>
      <c r="Q271" s="184">
        <f t="shared" si="300"/>
        <v>2500</v>
      </c>
      <c r="R271" s="184">
        <f t="shared" si="300"/>
        <v>2500</v>
      </c>
      <c r="S271" s="184">
        <f t="shared" si="300"/>
        <v>2500</v>
      </c>
      <c r="T271" s="230"/>
      <c r="U271" s="230"/>
      <c r="V271" s="190"/>
    </row>
    <row r="272" spans="1:22" x14ac:dyDescent="0.25">
      <c r="B272" s="846" t="s">
        <v>562</v>
      </c>
      <c r="C272" s="847"/>
      <c r="D272" s="499" t="s">
        <v>285</v>
      </c>
      <c r="J272" s="184">
        <f>J257</f>
        <v>0</v>
      </c>
      <c r="K272" s="184">
        <f t="shared" ref="K272:S272" si="301">K257</f>
        <v>784.75</v>
      </c>
      <c r="L272" s="184">
        <f t="shared" si="301"/>
        <v>784.75</v>
      </c>
      <c r="M272" s="184">
        <f t="shared" si="301"/>
        <v>784.75</v>
      </c>
      <c r="N272" s="184">
        <f t="shared" si="301"/>
        <v>1569.5</v>
      </c>
      <c r="O272" s="184">
        <f t="shared" si="301"/>
        <v>0</v>
      </c>
      <c r="P272" s="184">
        <f t="shared" si="301"/>
        <v>784.75</v>
      </c>
      <c r="Q272" s="184">
        <f t="shared" si="301"/>
        <v>784.75</v>
      </c>
      <c r="R272" s="184">
        <f t="shared" si="301"/>
        <v>0</v>
      </c>
      <c r="S272" s="184">
        <f t="shared" si="301"/>
        <v>0</v>
      </c>
      <c r="T272" s="230"/>
      <c r="U272" s="230"/>
      <c r="V272" s="190"/>
    </row>
    <row r="273" spans="2:22" x14ac:dyDescent="0.25">
      <c r="B273" s="845" t="s">
        <v>566</v>
      </c>
      <c r="C273" s="839"/>
      <c r="D273" s="191" t="s">
        <v>285</v>
      </c>
      <c r="J273" s="184">
        <f>J263</f>
        <v>470</v>
      </c>
      <c r="K273" s="184">
        <f t="shared" ref="K273:S273" si="302">K263</f>
        <v>235</v>
      </c>
      <c r="L273" s="184">
        <f t="shared" si="302"/>
        <v>235</v>
      </c>
      <c r="M273" s="184">
        <f t="shared" si="302"/>
        <v>235</v>
      </c>
      <c r="N273" s="184">
        <f t="shared" si="302"/>
        <v>470</v>
      </c>
      <c r="O273" s="184">
        <f t="shared" si="302"/>
        <v>0</v>
      </c>
      <c r="P273" s="184">
        <f t="shared" si="302"/>
        <v>235</v>
      </c>
      <c r="Q273" s="184">
        <f t="shared" si="302"/>
        <v>235</v>
      </c>
      <c r="R273" s="184">
        <f t="shared" si="302"/>
        <v>0</v>
      </c>
      <c r="S273" s="184">
        <f t="shared" si="302"/>
        <v>0</v>
      </c>
      <c r="T273" s="230"/>
      <c r="U273" s="230"/>
      <c r="V273" s="190"/>
    </row>
    <row r="274" spans="2:22" x14ac:dyDescent="0.25">
      <c r="I274" s="300" t="s">
        <v>114</v>
      </c>
      <c r="J274" s="12">
        <f t="shared" ref="J274:S274" si="303">SUM(J269:J273)</f>
        <v>9201.36</v>
      </c>
      <c r="K274" s="12">
        <f t="shared" si="303"/>
        <v>24140.67</v>
      </c>
      <c r="L274" s="12">
        <f t="shared" si="303"/>
        <v>24780.67</v>
      </c>
      <c r="M274" s="12">
        <f t="shared" si="303"/>
        <v>24780.67</v>
      </c>
      <c r="N274" s="12">
        <f t="shared" si="303"/>
        <v>26440.42</v>
      </c>
      <c r="O274" s="12">
        <f t="shared" si="303"/>
        <v>24400.92</v>
      </c>
      <c r="P274" s="12">
        <f t="shared" si="303"/>
        <v>25420.67</v>
      </c>
      <c r="Q274" s="12">
        <f t="shared" si="303"/>
        <v>26060.67</v>
      </c>
      <c r="R274" s="305">
        <f t="shared" si="303"/>
        <v>25040.92</v>
      </c>
      <c r="S274" s="12">
        <f t="shared" si="303"/>
        <v>25040.92</v>
      </c>
      <c r="T274" s="192"/>
      <c r="U274" s="230"/>
      <c r="V274" s="190"/>
    </row>
    <row r="275" spans="2:22" x14ac:dyDescent="0.25">
      <c r="J275" s="190"/>
      <c r="K275" s="190"/>
      <c r="L275" s="190"/>
      <c r="M275" s="190"/>
      <c r="N275" s="190"/>
      <c r="O275" s="190"/>
      <c r="P275" s="190"/>
      <c r="Q275" s="190"/>
      <c r="R275" s="190"/>
      <c r="S275" s="190"/>
      <c r="T275" s="230"/>
      <c r="U275" s="230"/>
      <c r="V275" s="190"/>
    </row>
    <row r="276" spans="2:22" x14ac:dyDescent="0.25">
      <c r="T276" s="435"/>
      <c r="U276" s="435"/>
    </row>
  </sheetData>
  <mergeCells count="86">
    <mergeCell ref="BM99:BX99"/>
    <mergeCell ref="BY99:CJ99"/>
    <mergeCell ref="CK99:CV99"/>
    <mergeCell ref="CW99:DH99"/>
    <mergeCell ref="DI99:DT99"/>
    <mergeCell ref="E99:P99"/>
    <mergeCell ref="Q99:AB99"/>
    <mergeCell ref="AC99:AN99"/>
    <mergeCell ref="AO99:AZ99"/>
    <mergeCell ref="BA99:BL99"/>
    <mergeCell ref="B225:C225"/>
    <mergeCell ref="B233:C233"/>
    <mergeCell ref="C119:C126"/>
    <mergeCell ref="C127:C132"/>
    <mergeCell ref="B234:C234"/>
    <mergeCell ref="C133:C140"/>
    <mergeCell ref="B273:C273"/>
    <mergeCell ref="B227:C227"/>
    <mergeCell ref="B268:C268"/>
    <mergeCell ref="B269:C269"/>
    <mergeCell ref="B270:C270"/>
    <mergeCell ref="B271:C271"/>
    <mergeCell ref="B272:C272"/>
    <mergeCell ref="B235:C235"/>
    <mergeCell ref="BY90:BY91"/>
    <mergeCell ref="CK90:CK91"/>
    <mergeCell ref="CW90:CW91"/>
    <mergeCell ref="E192:F192"/>
    <mergeCell ref="B141:B146"/>
    <mergeCell ref="C141:C146"/>
    <mergeCell ref="B147:B156"/>
    <mergeCell ref="C147:C152"/>
    <mergeCell ref="C153:C156"/>
    <mergeCell ref="B157:B166"/>
    <mergeCell ref="C157:C162"/>
    <mergeCell ref="C163:C166"/>
    <mergeCell ref="B167:B170"/>
    <mergeCell ref="C167:C170"/>
    <mergeCell ref="B171:B174"/>
    <mergeCell ref="C171:C174"/>
    <mergeCell ref="DI90:DI91"/>
    <mergeCell ref="B101:B106"/>
    <mergeCell ref="C101:C106"/>
    <mergeCell ref="BY88:BY89"/>
    <mergeCell ref="CK88:CK89"/>
    <mergeCell ref="CW88:CW89"/>
    <mergeCell ref="DI88:DI89"/>
    <mergeCell ref="B90:B91"/>
    <mergeCell ref="Q90:Q91"/>
    <mergeCell ref="AC90:AC91"/>
    <mergeCell ref="AO90:AO91"/>
    <mergeCell ref="BA90:BA91"/>
    <mergeCell ref="BM90:BM91"/>
    <mergeCell ref="B88:B89"/>
    <mergeCell ref="Q88:Q89"/>
    <mergeCell ref="AC88:AC89"/>
    <mergeCell ref="AO88:AO89"/>
    <mergeCell ref="BA88:BA89"/>
    <mergeCell ref="BM88:BM89"/>
    <mergeCell ref="DI85:DI86"/>
    <mergeCell ref="B76:L76"/>
    <mergeCell ref="E78:F78"/>
    <mergeCell ref="B85:B86"/>
    <mergeCell ref="Q85:Q86"/>
    <mergeCell ref="AC85:AC86"/>
    <mergeCell ref="AO85:AO86"/>
    <mergeCell ref="BA85:BA86"/>
    <mergeCell ref="BM85:BM86"/>
    <mergeCell ref="BY85:BY86"/>
    <mergeCell ref="CK85:CK86"/>
    <mergeCell ref="CW85:CW86"/>
    <mergeCell ref="B78:C78"/>
    <mergeCell ref="J69:K69"/>
    <mergeCell ref="B3:L3"/>
    <mergeCell ref="J7:K7"/>
    <mergeCell ref="J16:K16"/>
    <mergeCell ref="J26:K26"/>
    <mergeCell ref="J46:K46"/>
    <mergeCell ref="E181:F181"/>
    <mergeCell ref="B206:C206"/>
    <mergeCell ref="B107:B112"/>
    <mergeCell ref="C107:C112"/>
    <mergeCell ref="B113:B118"/>
    <mergeCell ref="C113:C118"/>
    <mergeCell ref="B133:B140"/>
    <mergeCell ref="B119:B132"/>
  </mergeCells>
  <pageMargins left="0.7" right="0.7" top="0.75" bottom="0.75" header="0.3" footer="0.3"/>
  <pageSetup orientation="portrait" horizontalDpi="4294967293" verticalDpi="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4:AG37"/>
  <sheetViews>
    <sheetView zoomScale="40" zoomScaleNormal="40" workbookViewId="0">
      <selection activeCell="I13" sqref="I13"/>
    </sheetView>
  </sheetViews>
  <sheetFormatPr baseColWidth="10" defaultColWidth="11" defaultRowHeight="15" x14ac:dyDescent="0.25"/>
  <cols>
    <col min="1" max="1" width="11.42578125" style="521" customWidth="1"/>
    <col min="2" max="2" width="35.7109375" style="521" customWidth="1"/>
    <col min="3" max="3" width="22.28515625" style="521" customWidth="1"/>
    <col min="4" max="4" width="2.5703125" style="521" customWidth="1"/>
    <col min="5" max="5" width="10.140625" style="521" customWidth="1"/>
    <col min="6" max="6" width="16" style="521" customWidth="1"/>
    <col min="7" max="7" width="13.7109375" style="521" customWidth="1"/>
    <col min="8" max="8" width="17.140625" style="521" customWidth="1"/>
    <col min="9" max="9" width="11" style="521"/>
    <col min="10" max="10" width="16.140625" style="521" customWidth="1"/>
    <col min="11" max="27" width="11" style="521"/>
    <col min="28" max="28" width="9.7109375" style="521" customWidth="1"/>
    <col min="29" max="16384" width="11" style="521"/>
  </cols>
  <sheetData>
    <row r="4" spans="1:33" ht="15.75" customHeight="1" x14ac:dyDescent="0.25">
      <c r="A4" s="853" t="s">
        <v>310</v>
      </c>
      <c r="B4" s="854"/>
      <c r="C4" s="854"/>
      <c r="D4" s="854"/>
      <c r="E4" s="854"/>
      <c r="F4" s="854"/>
      <c r="G4" s="854"/>
      <c r="H4" s="854"/>
      <c r="I4" s="854"/>
      <c r="J4" s="854"/>
      <c r="K4" s="854"/>
      <c r="L4" s="854"/>
      <c r="M4" s="854"/>
      <c r="N4" s="854"/>
      <c r="O4" s="855"/>
    </row>
    <row r="5" spans="1:33" ht="15.75" customHeight="1" x14ac:dyDescent="0.25">
      <c r="A5" s="405"/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</row>
    <row r="6" spans="1:33" x14ac:dyDescent="0.25">
      <c r="B6" s="856" t="s">
        <v>311</v>
      </c>
      <c r="C6" s="856"/>
      <c r="J6" s="405"/>
      <c r="K6" s="522"/>
    </row>
    <row r="7" spans="1:33" x14ac:dyDescent="0.25">
      <c r="W7" s="523"/>
      <c r="X7" s="523"/>
      <c r="Y7" s="523"/>
      <c r="Z7" s="523"/>
      <c r="AA7" s="523"/>
      <c r="AB7" s="523"/>
      <c r="AC7" s="523"/>
      <c r="AD7" s="523"/>
      <c r="AE7" s="523"/>
      <c r="AF7" s="523"/>
      <c r="AG7" s="523"/>
    </row>
    <row r="8" spans="1:33" x14ac:dyDescent="0.25">
      <c r="W8" s="523"/>
      <c r="X8" s="524"/>
      <c r="Y8" s="524"/>
      <c r="Z8" s="524"/>
      <c r="AA8" s="524"/>
      <c r="AB8" s="524"/>
      <c r="AC8" s="524"/>
      <c r="AD8" s="524"/>
      <c r="AE8" s="524"/>
      <c r="AF8" s="524"/>
      <c r="AG8" s="524"/>
    </row>
    <row r="9" spans="1:33" ht="27" customHeight="1" x14ac:dyDescent="0.25">
      <c r="B9" s="407" t="s">
        <v>141</v>
      </c>
      <c r="C9" s="407" t="s">
        <v>316</v>
      </c>
      <c r="D9" s="857" t="s">
        <v>317</v>
      </c>
      <c r="E9" s="857"/>
      <c r="F9" s="407" t="s">
        <v>180</v>
      </c>
      <c r="G9" s="407" t="s">
        <v>313</v>
      </c>
      <c r="H9" s="430" t="s">
        <v>318</v>
      </c>
      <c r="J9" s="408" t="s">
        <v>0</v>
      </c>
      <c r="K9" s="408" t="s">
        <v>1</v>
      </c>
      <c r="L9" s="408" t="s">
        <v>49</v>
      </c>
      <c r="M9" s="408" t="s">
        <v>50</v>
      </c>
      <c r="N9" s="408" t="s">
        <v>51</v>
      </c>
      <c r="O9" s="408" t="s">
        <v>52</v>
      </c>
      <c r="P9" s="408" t="s">
        <v>53</v>
      </c>
      <c r="Q9" s="408" t="s">
        <v>54</v>
      </c>
      <c r="R9" s="408" t="s">
        <v>55</v>
      </c>
      <c r="S9" s="408" t="s">
        <v>56</v>
      </c>
      <c r="T9" s="408" t="s">
        <v>57</v>
      </c>
      <c r="U9" s="408" t="s">
        <v>58</v>
      </c>
      <c r="V9" s="146" t="s">
        <v>273</v>
      </c>
      <c r="W9" s="523"/>
    </row>
    <row r="10" spans="1:33" ht="18" customHeight="1" x14ac:dyDescent="0.25">
      <c r="B10" s="409" t="s">
        <v>319</v>
      </c>
      <c r="C10" s="861"/>
      <c r="D10" s="862"/>
      <c r="E10" s="862"/>
      <c r="F10" s="862"/>
      <c r="G10" s="862"/>
      <c r="H10" s="863"/>
      <c r="J10" s="410"/>
      <c r="K10" s="411"/>
      <c r="L10" s="411"/>
      <c r="M10" s="411"/>
      <c r="N10" s="411"/>
      <c r="O10" s="411"/>
      <c r="P10" s="411"/>
      <c r="Q10" s="411"/>
      <c r="R10" s="411"/>
      <c r="S10" s="411"/>
      <c r="T10" s="411"/>
      <c r="U10" s="411"/>
      <c r="V10" s="858"/>
      <c r="AB10" s="525"/>
    </row>
    <row r="11" spans="1:33" ht="27" customHeight="1" x14ac:dyDescent="0.25">
      <c r="B11" s="412" t="s">
        <v>320</v>
      </c>
      <c r="C11" s="413" t="s">
        <v>321</v>
      </c>
      <c r="D11" s="864">
        <v>3</v>
      </c>
      <c r="E11" s="864"/>
      <c r="F11" s="414" t="s">
        <v>322</v>
      </c>
      <c r="G11" s="414">
        <v>110.08</v>
      </c>
      <c r="H11" s="414">
        <f>G11*D11</f>
        <v>330.24</v>
      </c>
      <c r="J11" s="415"/>
      <c r="K11" s="415"/>
      <c r="L11" s="415"/>
      <c r="M11" s="415"/>
      <c r="N11" s="415"/>
      <c r="O11" s="415"/>
      <c r="P11" s="415"/>
      <c r="Q11" s="415"/>
      <c r="R11" s="415"/>
      <c r="S11" s="415"/>
      <c r="T11" s="415"/>
      <c r="U11" s="269"/>
      <c r="V11" s="859"/>
      <c r="X11" s="763" t="s">
        <v>312</v>
      </c>
      <c r="Y11" s="764"/>
      <c r="Z11" s="268">
        <f>J28</f>
        <v>8341.4699999999993</v>
      </c>
      <c r="AB11" s="525"/>
    </row>
    <row r="12" spans="1:33" ht="31.5" customHeight="1" x14ac:dyDescent="0.25">
      <c r="B12" s="407" t="s">
        <v>323</v>
      </c>
      <c r="C12" s="416" t="s">
        <v>324</v>
      </c>
      <c r="D12" s="864">
        <v>1</v>
      </c>
      <c r="E12" s="864"/>
      <c r="F12" s="414" t="s">
        <v>322</v>
      </c>
      <c r="G12" s="414">
        <v>300</v>
      </c>
      <c r="H12" s="414">
        <f>G12*D12</f>
        <v>300</v>
      </c>
      <c r="J12" s="414"/>
      <c r="K12" s="414"/>
      <c r="L12" s="414"/>
      <c r="M12" s="414"/>
      <c r="N12" s="414"/>
      <c r="O12" s="414"/>
      <c r="P12" s="414"/>
      <c r="Q12" s="414"/>
      <c r="R12" s="414"/>
      <c r="S12" s="414"/>
      <c r="T12" s="414"/>
      <c r="U12" s="410"/>
      <c r="V12" s="859"/>
    </row>
    <row r="13" spans="1:33" ht="24" customHeight="1" x14ac:dyDescent="0.25">
      <c r="B13" s="407" t="s">
        <v>325</v>
      </c>
      <c r="C13" s="414" t="s">
        <v>326</v>
      </c>
      <c r="D13" s="864">
        <v>1</v>
      </c>
      <c r="E13" s="864"/>
      <c r="F13" s="414" t="s">
        <v>322</v>
      </c>
      <c r="G13" s="414">
        <v>2881.36</v>
      </c>
      <c r="H13" s="414">
        <f>G13*D13</f>
        <v>2881.36</v>
      </c>
      <c r="J13" s="417"/>
      <c r="K13" s="417"/>
      <c r="L13" s="417"/>
      <c r="M13" s="417"/>
      <c r="N13" s="417"/>
      <c r="O13" s="417"/>
      <c r="P13" s="417"/>
      <c r="Q13" s="417"/>
      <c r="R13" s="417"/>
      <c r="S13" s="417"/>
      <c r="T13" s="417"/>
      <c r="U13" s="418"/>
      <c r="V13" s="859"/>
    </row>
    <row r="14" spans="1:33" ht="21" customHeight="1" x14ac:dyDescent="0.25">
      <c r="B14" s="419" t="s">
        <v>327</v>
      </c>
      <c r="C14" s="864"/>
      <c r="D14" s="864"/>
      <c r="E14" s="864"/>
      <c r="F14" s="864"/>
      <c r="G14" s="864"/>
      <c r="H14" s="864"/>
      <c r="J14" s="410"/>
      <c r="K14" s="411"/>
      <c r="L14" s="411"/>
      <c r="M14" s="411"/>
      <c r="N14" s="411"/>
      <c r="O14" s="411"/>
      <c r="P14" s="411"/>
      <c r="Q14" s="411"/>
      <c r="R14" s="411"/>
      <c r="S14" s="411"/>
      <c r="T14" s="411"/>
      <c r="U14" s="411"/>
      <c r="V14" s="859"/>
    </row>
    <row r="15" spans="1:33" ht="28.5" customHeight="1" x14ac:dyDescent="0.25">
      <c r="B15" s="412" t="s">
        <v>328</v>
      </c>
      <c r="C15" s="413" t="s">
        <v>321</v>
      </c>
      <c r="D15" s="864">
        <v>3</v>
      </c>
      <c r="E15" s="864"/>
      <c r="F15" s="414" t="s">
        <v>322</v>
      </c>
      <c r="G15" s="414">
        <v>110.08</v>
      </c>
      <c r="H15" s="414">
        <f t="shared" ref="H15:H20" si="0">G15*D15</f>
        <v>330.24</v>
      </c>
      <c r="J15" s="415"/>
      <c r="K15" s="415"/>
      <c r="L15" s="415"/>
      <c r="M15" s="415"/>
      <c r="N15" s="415">
        <f>H15</f>
        <v>330.24</v>
      </c>
      <c r="O15" s="415"/>
      <c r="P15" s="415"/>
      <c r="Q15" s="415"/>
      <c r="R15" s="415"/>
      <c r="S15" s="415"/>
      <c r="T15" s="415"/>
      <c r="U15" s="269"/>
      <c r="V15" s="859"/>
    </row>
    <row r="16" spans="1:33" ht="21.75" customHeight="1" x14ac:dyDescent="0.25">
      <c r="B16" s="412" t="s">
        <v>329</v>
      </c>
      <c r="C16" s="413"/>
      <c r="D16" s="864">
        <v>1</v>
      </c>
      <c r="E16" s="864"/>
      <c r="F16" s="414" t="s">
        <v>322</v>
      </c>
      <c r="G16" s="414">
        <v>844</v>
      </c>
      <c r="H16" s="414">
        <f t="shared" si="0"/>
        <v>844</v>
      </c>
      <c r="J16" s="414"/>
      <c r="K16" s="414"/>
      <c r="L16" s="414"/>
      <c r="M16" s="414"/>
      <c r="N16" s="414">
        <f>H16</f>
        <v>844</v>
      </c>
      <c r="O16" s="414"/>
      <c r="P16" s="414"/>
      <c r="Q16" s="414"/>
      <c r="R16" s="414"/>
      <c r="S16" s="414"/>
      <c r="T16" s="414"/>
      <c r="U16" s="410"/>
      <c r="V16" s="859"/>
    </row>
    <row r="17" spans="2:22" ht="21.75" customHeight="1" x14ac:dyDescent="0.25">
      <c r="B17" s="412" t="s">
        <v>614</v>
      </c>
      <c r="C17" s="413"/>
      <c r="D17" s="864">
        <v>80</v>
      </c>
      <c r="E17" s="864"/>
      <c r="F17" s="414" t="s">
        <v>322</v>
      </c>
      <c r="G17" s="414">
        <v>22.88</v>
      </c>
      <c r="H17" s="414">
        <f t="shared" si="0"/>
        <v>1830.3999999999999</v>
      </c>
      <c r="J17" s="414"/>
      <c r="K17" s="414"/>
      <c r="L17" s="414"/>
      <c r="M17" s="414"/>
      <c r="N17" s="414">
        <f>H17</f>
        <v>1830.3999999999999</v>
      </c>
      <c r="O17" s="414"/>
      <c r="P17" s="414"/>
      <c r="Q17" s="414"/>
      <c r="R17" s="414"/>
      <c r="S17" s="414"/>
      <c r="T17" s="414"/>
      <c r="U17" s="410"/>
      <c r="V17" s="859"/>
    </row>
    <row r="18" spans="2:22" ht="30" customHeight="1" x14ac:dyDescent="0.25">
      <c r="B18" s="412" t="s">
        <v>330</v>
      </c>
      <c r="C18" s="413" t="s">
        <v>321</v>
      </c>
      <c r="D18" s="864">
        <v>3</v>
      </c>
      <c r="E18" s="864"/>
      <c r="F18" s="414" t="s">
        <v>322</v>
      </c>
      <c r="G18" s="414">
        <v>110.08</v>
      </c>
      <c r="H18" s="414">
        <f t="shared" si="0"/>
        <v>330.24</v>
      </c>
      <c r="J18" s="414"/>
      <c r="K18" s="414"/>
      <c r="L18" s="414">
        <f>H18</f>
        <v>330.24</v>
      </c>
      <c r="M18" s="414"/>
      <c r="N18" s="414"/>
      <c r="O18" s="414"/>
      <c r="P18" s="414"/>
      <c r="Q18" s="414"/>
      <c r="R18" s="414"/>
      <c r="S18" s="414"/>
      <c r="T18" s="414"/>
      <c r="U18" s="410"/>
      <c r="V18" s="859"/>
    </row>
    <row r="19" spans="2:22" ht="23.25" customHeight="1" x14ac:dyDescent="0.25">
      <c r="B19" s="412" t="s">
        <v>331</v>
      </c>
      <c r="C19" s="413"/>
      <c r="D19" s="864">
        <v>1</v>
      </c>
      <c r="E19" s="864"/>
      <c r="F19" s="414" t="s">
        <v>322</v>
      </c>
      <c r="G19" s="414">
        <v>844</v>
      </c>
      <c r="H19" s="414">
        <f t="shared" si="0"/>
        <v>844</v>
      </c>
      <c r="J19" s="417"/>
      <c r="K19" s="417"/>
      <c r="L19" s="417">
        <f>H19</f>
        <v>844</v>
      </c>
      <c r="M19" s="417"/>
      <c r="N19" s="417"/>
      <c r="O19" s="417"/>
      <c r="P19" s="417"/>
      <c r="Q19" s="417"/>
      <c r="R19" s="417"/>
      <c r="S19" s="417"/>
      <c r="T19" s="417"/>
      <c r="U19" s="418"/>
      <c r="V19" s="859"/>
    </row>
    <row r="20" spans="2:22" ht="23.25" customHeight="1" x14ac:dyDescent="0.25">
      <c r="B20" s="412" t="s">
        <v>613</v>
      </c>
      <c r="C20" s="413"/>
      <c r="D20" s="864">
        <v>141</v>
      </c>
      <c r="E20" s="864"/>
      <c r="F20" s="414" t="s">
        <v>322</v>
      </c>
      <c r="G20" s="414">
        <v>19.489999999999998</v>
      </c>
      <c r="H20" s="414">
        <f t="shared" si="0"/>
        <v>2748.0899999999997</v>
      </c>
      <c r="J20" s="414"/>
      <c r="K20" s="414"/>
      <c r="L20" s="414">
        <f>H20</f>
        <v>2748.0899999999997</v>
      </c>
      <c r="M20" s="414"/>
      <c r="N20" s="414"/>
      <c r="O20" s="414"/>
      <c r="P20" s="414"/>
      <c r="Q20" s="414"/>
      <c r="R20" s="414"/>
      <c r="S20" s="414"/>
      <c r="T20" s="414"/>
      <c r="U20" s="414"/>
      <c r="V20" s="859"/>
    </row>
    <row r="21" spans="2:22" ht="23.25" customHeight="1" x14ac:dyDescent="0.25">
      <c r="B21" s="419" t="s">
        <v>605</v>
      </c>
      <c r="C21" s="420"/>
      <c r="D21" s="420"/>
      <c r="E21" s="420"/>
      <c r="F21" s="421"/>
      <c r="G21" s="421"/>
      <c r="H21" s="422"/>
      <c r="J21" s="410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  <c r="V21" s="859"/>
    </row>
    <row r="22" spans="2:22" ht="23.25" customHeight="1" x14ac:dyDescent="0.25">
      <c r="B22" s="407" t="s">
        <v>603</v>
      </c>
      <c r="C22" s="526"/>
      <c r="D22" s="861">
        <v>1</v>
      </c>
      <c r="E22" s="863"/>
      <c r="F22" s="414" t="s">
        <v>322</v>
      </c>
      <c r="G22" s="414">
        <v>214.5</v>
      </c>
      <c r="H22" s="414">
        <f>D22*G22</f>
        <v>214.5</v>
      </c>
      <c r="J22" s="414">
        <f>H22</f>
        <v>214.5</v>
      </c>
      <c r="K22" s="414"/>
      <c r="L22" s="414"/>
      <c r="M22" s="414"/>
      <c r="N22" s="414"/>
      <c r="O22" s="414"/>
      <c r="P22" s="414"/>
      <c r="Q22" s="414"/>
      <c r="R22" s="414"/>
      <c r="S22" s="414"/>
      <c r="T22" s="414"/>
      <c r="U22" s="410"/>
      <c r="V22" s="859"/>
    </row>
    <row r="23" spans="2:22" ht="23.25" customHeight="1" x14ac:dyDescent="0.25">
      <c r="B23" s="407" t="s">
        <v>314</v>
      </c>
      <c r="C23" s="526"/>
      <c r="D23" s="861">
        <v>12</v>
      </c>
      <c r="E23" s="863"/>
      <c r="F23" s="414" t="s">
        <v>604</v>
      </c>
      <c r="G23" s="414">
        <v>100</v>
      </c>
      <c r="H23" s="414">
        <f>D23*G23</f>
        <v>1200</v>
      </c>
      <c r="J23" s="414">
        <f>$G$23</f>
        <v>100</v>
      </c>
      <c r="K23" s="414">
        <f t="shared" ref="K23:U23" si="1">$G$23</f>
        <v>100</v>
      </c>
      <c r="L23" s="414">
        <f t="shared" si="1"/>
        <v>100</v>
      </c>
      <c r="M23" s="414">
        <f t="shared" si="1"/>
        <v>100</v>
      </c>
      <c r="N23" s="414">
        <f t="shared" si="1"/>
        <v>100</v>
      </c>
      <c r="O23" s="414">
        <f t="shared" si="1"/>
        <v>100</v>
      </c>
      <c r="P23" s="414">
        <f t="shared" si="1"/>
        <v>100</v>
      </c>
      <c r="Q23" s="414">
        <f t="shared" si="1"/>
        <v>100</v>
      </c>
      <c r="R23" s="414">
        <f t="shared" si="1"/>
        <v>100</v>
      </c>
      <c r="S23" s="414">
        <f t="shared" si="1"/>
        <v>100</v>
      </c>
      <c r="T23" s="414">
        <f t="shared" si="1"/>
        <v>100</v>
      </c>
      <c r="U23" s="410">
        <f t="shared" si="1"/>
        <v>100</v>
      </c>
      <c r="V23" s="859"/>
    </row>
    <row r="24" spans="2:22" ht="23.25" customHeight="1" x14ac:dyDescent="0.25">
      <c r="B24" s="424"/>
      <c r="C24" s="425"/>
      <c r="D24" s="426"/>
      <c r="E24" s="426"/>
      <c r="F24" s="426"/>
      <c r="G24" s="426"/>
      <c r="H24" s="426"/>
      <c r="J24" s="267"/>
      <c r="K24" s="427"/>
      <c r="L24" s="427"/>
      <c r="M24" s="427"/>
      <c r="N24" s="427"/>
      <c r="O24" s="427"/>
      <c r="P24" s="427"/>
      <c r="Q24" s="427"/>
      <c r="R24" s="427"/>
      <c r="S24" s="427"/>
      <c r="T24" s="427"/>
      <c r="U24" s="427"/>
      <c r="V24" s="860"/>
    </row>
    <row r="25" spans="2:22" ht="24" customHeight="1" x14ac:dyDescent="0.25">
      <c r="B25" s="424"/>
      <c r="C25" s="426"/>
      <c r="D25" s="426"/>
      <c r="E25" s="426"/>
      <c r="F25" s="426"/>
      <c r="G25" s="426"/>
      <c r="H25" s="426"/>
      <c r="I25" s="299" t="s">
        <v>114</v>
      </c>
      <c r="J25" s="146">
        <f t="shared" ref="J25:U25" si="2">SUM(J10:J23)</f>
        <v>314.5</v>
      </c>
      <c r="K25" s="146">
        <f t="shared" si="2"/>
        <v>100</v>
      </c>
      <c r="L25" s="146">
        <f t="shared" si="2"/>
        <v>4022.33</v>
      </c>
      <c r="M25" s="146">
        <f t="shared" si="2"/>
        <v>100</v>
      </c>
      <c r="N25" s="146">
        <f t="shared" si="2"/>
        <v>3104.64</v>
      </c>
      <c r="O25" s="146">
        <f t="shared" si="2"/>
        <v>100</v>
      </c>
      <c r="P25" s="146">
        <f t="shared" si="2"/>
        <v>100</v>
      </c>
      <c r="Q25" s="146">
        <f t="shared" si="2"/>
        <v>100</v>
      </c>
      <c r="R25" s="146">
        <f t="shared" si="2"/>
        <v>100</v>
      </c>
      <c r="S25" s="146">
        <f t="shared" si="2"/>
        <v>100</v>
      </c>
      <c r="T25" s="146">
        <f t="shared" si="2"/>
        <v>100</v>
      </c>
      <c r="U25" s="146">
        <f t="shared" si="2"/>
        <v>100</v>
      </c>
      <c r="V25" s="146">
        <f>SUM(J25:U25)</f>
        <v>8341.4699999999993</v>
      </c>
    </row>
    <row r="27" spans="2:22" x14ac:dyDescent="0.25">
      <c r="J27" s="146" t="s">
        <v>2</v>
      </c>
      <c r="K27" s="146" t="s">
        <v>14</v>
      </c>
      <c r="L27" s="146" t="s">
        <v>15</v>
      </c>
      <c r="M27" s="146" t="s">
        <v>16</v>
      </c>
      <c r="N27" s="146" t="s">
        <v>17</v>
      </c>
      <c r="O27" s="146" t="s">
        <v>18</v>
      </c>
      <c r="P27" s="146" t="s">
        <v>19</v>
      </c>
      <c r="Q27" s="146" t="s">
        <v>20</v>
      </c>
      <c r="R27" s="146" t="s">
        <v>21</v>
      </c>
      <c r="S27" s="146" t="s">
        <v>22</v>
      </c>
    </row>
    <row r="28" spans="2:22" x14ac:dyDescent="0.25">
      <c r="J28" s="268">
        <f>V25</f>
        <v>8341.4699999999993</v>
      </c>
      <c r="K28" s="268">
        <f>SUM(H11:H23)</f>
        <v>11853.07</v>
      </c>
      <c r="L28" s="268">
        <f t="shared" ref="L28:S28" si="3">K28</f>
        <v>11853.07</v>
      </c>
      <c r="M28" s="268">
        <f t="shared" si="3"/>
        <v>11853.07</v>
      </c>
      <c r="N28" s="268">
        <f t="shared" si="3"/>
        <v>11853.07</v>
      </c>
      <c r="O28" s="268">
        <f t="shared" si="3"/>
        <v>11853.07</v>
      </c>
      <c r="P28" s="268">
        <f t="shared" si="3"/>
        <v>11853.07</v>
      </c>
      <c r="Q28" s="268">
        <f t="shared" si="3"/>
        <v>11853.07</v>
      </c>
      <c r="R28" s="268">
        <f t="shared" si="3"/>
        <v>11853.07</v>
      </c>
      <c r="S28" s="268">
        <f t="shared" si="3"/>
        <v>11853.07</v>
      </c>
    </row>
    <row r="30" spans="2:22" x14ac:dyDescent="0.25">
      <c r="B30" s="856" t="s">
        <v>315</v>
      </c>
      <c r="C30" s="856"/>
    </row>
    <row r="34" spans="2:8" x14ac:dyDescent="0.25">
      <c r="B34" s="407" t="s">
        <v>141</v>
      </c>
      <c r="C34" s="405"/>
      <c r="D34" s="866"/>
      <c r="E34" s="866"/>
      <c r="F34" s="405"/>
      <c r="G34" s="405"/>
      <c r="H34" s="405"/>
    </row>
    <row r="35" spans="2:8" x14ac:dyDescent="0.25">
      <c r="B35" s="409" t="s">
        <v>606</v>
      </c>
      <c r="C35" s="865"/>
      <c r="D35" s="865"/>
      <c r="E35" s="865"/>
      <c r="F35" s="865"/>
      <c r="G35" s="865"/>
      <c r="H35" s="865"/>
    </row>
    <row r="36" spans="2:8" x14ac:dyDescent="0.25">
      <c r="B36" s="412" t="s">
        <v>607</v>
      </c>
      <c r="C36" s="425"/>
      <c r="D36" s="865"/>
      <c r="E36" s="865"/>
      <c r="F36" s="426"/>
      <c r="G36" s="426"/>
      <c r="H36" s="426"/>
    </row>
    <row r="37" spans="2:8" x14ac:dyDescent="0.25">
      <c r="C37" s="405"/>
      <c r="D37" s="405"/>
      <c r="E37" s="405"/>
      <c r="F37" s="405"/>
      <c r="G37" s="405"/>
      <c r="H37" s="405"/>
    </row>
  </sheetData>
  <mergeCells count="22">
    <mergeCell ref="D36:E36"/>
    <mergeCell ref="B30:C30"/>
    <mergeCell ref="D22:E22"/>
    <mergeCell ref="D23:E23"/>
    <mergeCell ref="D17:E17"/>
    <mergeCell ref="D20:E20"/>
    <mergeCell ref="D34:E34"/>
    <mergeCell ref="C35:H35"/>
    <mergeCell ref="A4:O4"/>
    <mergeCell ref="B6:C6"/>
    <mergeCell ref="X11:Y11"/>
    <mergeCell ref="D9:E9"/>
    <mergeCell ref="V10:V24"/>
    <mergeCell ref="C10:H10"/>
    <mergeCell ref="D11:E11"/>
    <mergeCell ref="D12:E12"/>
    <mergeCell ref="D13:E13"/>
    <mergeCell ref="C14:H14"/>
    <mergeCell ref="D15:E15"/>
    <mergeCell ref="D16:E16"/>
    <mergeCell ref="D18:E18"/>
    <mergeCell ref="D19:E19"/>
  </mergeCells>
  <pageMargins left="0.7" right="0.7" top="0.75" bottom="0.75" header="0.3" footer="0.3"/>
  <pageSetup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30"/>
  <sheetViews>
    <sheetView zoomScale="55" zoomScaleNormal="55" workbookViewId="0">
      <selection activeCell="D26" sqref="D26"/>
    </sheetView>
  </sheetViews>
  <sheetFormatPr baseColWidth="10" defaultColWidth="11" defaultRowHeight="15" x14ac:dyDescent="0.25"/>
  <cols>
    <col min="1" max="2" width="11" style="3"/>
    <col min="3" max="3" width="15.42578125" style="3" customWidth="1"/>
    <col min="4" max="4" width="33.42578125" style="3" customWidth="1"/>
    <col min="5" max="14" width="15.5703125" style="3" customWidth="1"/>
    <col min="15" max="16384" width="11" style="3"/>
  </cols>
  <sheetData>
    <row r="3" spans="2:14" x14ac:dyDescent="0.25">
      <c r="B3" s="148" t="s">
        <v>421</v>
      </c>
      <c r="C3" s="149"/>
      <c r="D3" s="150"/>
    </row>
    <row r="5" spans="2:14" ht="20.100000000000001" customHeight="1" x14ac:dyDescent="0.25">
      <c r="D5" s="151"/>
      <c r="E5" s="151" t="s">
        <v>38</v>
      </c>
      <c r="F5" s="151" t="s">
        <v>40</v>
      </c>
      <c r="G5" s="151" t="s">
        <v>41</v>
      </c>
      <c r="H5" s="151" t="s">
        <v>42</v>
      </c>
      <c r="I5" s="151" t="s">
        <v>43</v>
      </c>
      <c r="J5" s="151" t="s">
        <v>44</v>
      </c>
      <c r="K5" s="151" t="s">
        <v>45</v>
      </c>
      <c r="L5" s="151" t="s">
        <v>46</v>
      </c>
      <c r="M5" s="151" t="s">
        <v>47</v>
      </c>
      <c r="N5" s="151" t="s">
        <v>48</v>
      </c>
    </row>
    <row r="6" spans="2:14" ht="20.100000000000001" customHeight="1" x14ac:dyDescent="0.25">
      <c r="D6" s="151" t="s">
        <v>30</v>
      </c>
      <c r="E6" s="147">
        <f>'FLUJOS - ESCENARIO SIN DEUDA'!D11</f>
        <v>1599239.607414285</v>
      </c>
      <c r="F6" s="147">
        <f>'FLUJOS - ESCENARIO SIN DEUDA'!E11</f>
        <v>1784546.3692800493</v>
      </c>
      <c r="G6" s="147">
        <f>'FLUJOS - ESCENARIO SIN DEUDA'!F11</f>
        <v>1902009.3620280642</v>
      </c>
      <c r="H6" s="147">
        <f>'FLUJOS - ESCENARIO SIN DEUDA'!G11</f>
        <v>2033412.6398107067</v>
      </c>
      <c r="I6" s="147">
        <f>'FLUJOS - ESCENARIO SIN DEUDA'!H11</f>
        <v>2174234.6555127101</v>
      </c>
      <c r="J6" s="147">
        <f>'FLUJOS - ESCENARIO SIN DEUDA'!I11</f>
        <v>2323962.0089240242</v>
      </c>
      <c r="K6" s="147">
        <f>'FLUJOS - ESCENARIO SIN DEUDA'!J11</f>
        <v>2484736.20927752</v>
      </c>
      <c r="L6" s="147">
        <f>'FLUJOS - ESCENARIO SIN DEUDA'!K11</f>
        <v>2657068.67145237</v>
      </c>
      <c r="M6" s="147">
        <f>'FLUJOS - ESCENARIO SIN DEUDA'!L11</f>
        <v>2840776.270386239</v>
      </c>
      <c r="N6" s="147">
        <f>'FLUJOS - ESCENARIO SIN DEUDA'!M11</f>
        <v>3037425.6046353104</v>
      </c>
    </row>
    <row r="7" spans="2:14" ht="20.100000000000001" customHeight="1" x14ac:dyDescent="0.25">
      <c r="D7" s="151" t="s">
        <v>445</v>
      </c>
      <c r="E7" s="147">
        <f>'FLUJOS - ESCENARIO SIN DEUDA'!D16</f>
        <v>71419.153592619463</v>
      </c>
      <c r="F7" s="147">
        <f>'FLUJOS - ESCENARIO SIN DEUDA'!E16</f>
        <v>78833.655167033168</v>
      </c>
      <c r="G7" s="147">
        <f>'FLUJOS - ESCENARIO SIN DEUDA'!F16</f>
        <v>84180.290482002616</v>
      </c>
      <c r="H7" s="147">
        <f>'FLUJOS - ESCENARIO SIN DEUDA'!G16</f>
        <v>90081.315976759768</v>
      </c>
      <c r="I7" s="147">
        <f>'FLUJOS - ESCENARIO SIN DEUDA'!H16</f>
        <v>96400.275468014312</v>
      </c>
      <c r="J7" s="147">
        <f>'FLUJOS - ESCENARIO SIN DEUDA'!I16</f>
        <v>103140.56603891091</v>
      </c>
      <c r="K7" s="147">
        <f>'FLUJOS - ESCENARIO SIN DEUDA'!J16</f>
        <v>110365.15575485502</v>
      </c>
      <c r="L7" s="147">
        <f>'FLUJOS - ESCENARIO SIN DEUDA'!K16</f>
        <v>118102.17144583049</v>
      </c>
      <c r="M7" s="147">
        <f>'FLUJOS - ESCENARIO SIN DEUDA'!L16</f>
        <v>126365.60484534371</v>
      </c>
      <c r="N7" s="147">
        <f>'FLUJOS - ESCENARIO SIN DEUDA'!M16</f>
        <v>135209.29116756862</v>
      </c>
    </row>
    <row r="8" spans="2:14" ht="20.100000000000001" customHeight="1" x14ac:dyDescent="0.25">
      <c r="D8" s="151" t="s">
        <v>33</v>
      </c>
      <c r="E8" s="147">
        <f>E6-E7</f>
        <v>1527820.4538216656</v>
      </c>
      <c r="F8" s="147">
        <f t="shared" ref="F8:N8" si="0">F6-F7</f>
        <v>1705712.7141130161</v>
      </c>
      <c r="G8" s="147">
        <f t="shared" si="0"/>
        <v>1817829.0715460617</v>
      </c>
      <c r="H8" s="147">
        <f t="shared" si="0"/>
        <v>1943331.3238339471</v>
      </c>
      <c r="I8" s="147">
        <f t="shared" si="0"/>
        <v>2077834.3800446957</v>
      </c>
      <c r="J8" s="147">
        <f t="shared" si="0"/>
        <v>2220821.4428851134</v>
      </c>
      <c r="K8" s="147">
        <f t="shared" si="0"/>
        <v>2374371.0535226651</v>
      </c>
      <c r="L8" s="147">
        <f t="shared" si="0"/>
        <v>2538966.5000065397</v>
      </c>
      <c r="M8" s="147">
        <f t="shared" si="0"/>
        <v>2714410.6655408954</v>
      </c>
      <c r="N8" s="147">
        <f t="shared" si="0"/>
        <v>2902216.3134677419</v>
      </c>
    </row>
    <row r="9" spans="2:14" ht="20.100000000000001" customHeight="1" x14ac:dyDescent="0.25">
      <c r="D9" s="151" t="s">
        <v>447</v>
      </c>
      <c r="E9" s="152">
        <f>'FLUJOS - ESCENARIO SIN DEUDA'!D21</f>
        <v>0.95534180540457425</v>
      </c>
      <c r="F9" s="152">
        <f>'FLUJOS - ESCENARIO SIN DEUDA'!E21</f>
        <v>0.95582426070618853</v>
      </c>
      <c r="G9" s="152">
        <f>'FLUJOS - ESCENARIO SIN DEUDA'!F21</f>
        <v>0.95574139004644898</v>
      </c>
      <c r="H9" s="152">
        <f>'FLUJOS - ESCENARIO SIN DEUDA'!G21</f>
        <v>0.95569944131696483</v>
      </c>
      <c r="I9" s="152">
        <f>'FLUJOS - ESCENARIO SIN DEUDA'!H21</f>
        <v>0.95566243265252249</v>
      </c>
      <c r="J9" s="152">
        <f>'FLUJOS - ESCENARIO SIN DEUDA'!I21</f>
        <v>0.95561865226589304</v>
      </c>
      <c r="K9" s="152">
        <f>'FLUJOS - ESCENARIO SIN DEUDA'!J21</f>
        <v>0.95558274743903482</v>
      </c>
      <c r="L9" s="152">
        <f>'FLUJOS - ESCENARIO SIN DEUDA'!K21</f>
        <v>0.95555170526274924</v>
      </c>
      <c r="M9" s="152">
        <f>'FLUJOS - ESCENARIO SIN DEUDA'!L21</f>
        <v>0.95551722739919864</v>
      </c>
      <c r="N9" s="152">
        <f>'FLUJOS - ESCENARIO SIN DEUDA'!M21</f>
        <v>0.95548556285255837</v>
      </c>
    </row>
    <row r="10" spans="2:14" ht="27" customHeight="1" x14ac:dyDescent="0.25">
      <c r="B10" s="218"/>
      <c r="D10" s="151" t="s">
        <v>5</v>
      </c>
      <c r="E10" s="147">
        <f>'FLUJOS - ESCENARIO SIN DEUDA'!D22</f>
        <v>1173557.9496355986</v>
      </c>
      <c r="F10" s="147">
        <f>'FLUJOS - ESCENARIO SIN DEUDA'!E22</f>
        <v>1250702.7590667494</v>
      </c>
      <c r="G10" s="147">
        <f>'FLUJOS - ESCENARIO SIN DEUDA'!F22</f>
        <v>1280598.7890859707</v>
      </c>
      <c r="H10" s="147">
        <f>'FLUJOS - ESCENARIO SIN DEUDA'!G22</f>
        <v>1315535.3410722204</v>
      </c>
      <c r="I10" s="147">
        <f>'FLUJOS - ESCENARIO SIN DEUDA'!H22</f>
        <v>1380172.0005056432</v>
      </c>
      <c r="J10" s="147">
        <f>'FLUJOS - ESCENARIO SIN DEUDA'!I22</f>
        <v>1397242.8352971002</v>
      </c>
      <c r="K10" s="147">
        <f>'FLUJOS - ESCENARIO SIN DEUDA'!J22</f>
        <v>1454582.3925580927</v>
      </c>
      <c r="L10" s="147">
        <f>'FLUJOS - ESCENARIO SIN DEUDA'!K22</f>
        <v>1501931.2731096637</v>
      </c>
      <c r="M10" s="147">
        <f>'FLUJOS - ESCENARIO SIN DEUDA'!L22</f>
        <v>1521270.7958704215</v>
      </c>
      <c r="N10" s="147">
        <f>'FLUJOS - ESCENARIO SIN DEUDA'!M22</f>
        <v>1541079.7214167586</v>
      </c>
    </row>
    <row r="11" spans="2:14" ht="20.100000000000001" customHeight="1" x14ac:dyDescent="0.25">
      <c r="D11" s="151" t="s">
        <v>421</v>
      </c>
      <c r="E11" s="147">
        <f>E10/E9</f>
        <v>1228416.8273559564</v>
      </c>
      <c r="F11" s="147">
        <f t="shared" ref="F11:N11" si="1">F10/F9</f>
        <v>1308507.0242334052</v>
      </c>
      <c r="G11" s="147">
        <f t="shared" si="1"/>
        <v>1339900.9422661224</v>
      </c>
      <c r="H11" s="147">
        <f t="shared" si="1"/>
        <v>1376515.758196319</v>
      </c>
      <c r="I11" s="147">
        <f t="shared" si="1"/>
        <v>1444204.515474003</v>
      </c>
      <c r="J11" s="147">
        <f t="shared" si="1"/>
        <v>1462134.3273114858</v>
      </c>
      <c r="K11" s="147">
        <f t="shared" si="1"/>
        <v>1522194.0710591299</v>
      </c>
      <c r="L11" s="147">
        <f t="shared" si="1"/>
        <v>1571794.8749792413</v>
      </c>
      <c r="M11" s="147">
        <f t="shared" si="1"/>
        <v>1592091.4372325186</v>
      </c>
      <c r="N11" s="147">
        <f t="shared" si="1"/>
        <v>1612875.9882210421</v>
      </c>
    </row>
    <row r="12" spans="2:14" ht="20.100000000000001" customHeight="1" x14ac:dyDescent="0.25">
      <c r="D12" s="151" t="s">
        <v>448</v>
      </c>
      <c r="E12" s="152">
        <f>E11/E6</f>
        <v>0.76812556521290154</v>
      </c>
      <c r="F12" s="152">
        <f t="shared" ref="F12:N12" si="2">F11/F6</f>
        <v>0.73324349916517129</v>
      </c>
      <c r="G12" s="152">
        <f t="shared" si="2"/>
        <v>0.70446600790514524</v>
      </c>
      <c r="H12" s="152">
        <f t="shared" si="2"/>
        <v>0.67694855989705105</v>
      </c>
      <c r="I12" s="152">
        <f t="shared" si="2"/>
        <v>0.66423580905228585</v>
      </c>
      <c r="J12" s="152">
        <f t="shared" si="2"/>
        <v>0.62915586472450225</v>
      </c>
      <c r="K12" s="152">
        <f t="shared" si="2"/>
        <v>0.61261797746398772</v>
      </c>
      <c r="L12" s="152">
        <f t="shared" si="2"/>
        <v>0.59155222138842523</v>
      </c>
      <c r="M12" s="152">
        <f t="shared" si="2"/>
        <v>0.56044238817020742</v>
      </c>
      <c r="N12" s="152">
        <f t="shared" si="2"/>
        <v>0.531000985097277</v>
      </c>
    </row>
    <row r="13" spans="2:14" ht="20.100000000000001" customHeight="1" x14ac:dyDescent="0.25">
      <c r="D13" s="151" t="s">
        <v>446</v>
      </c>
      <c r="E13" s="147">
        <f>E6*E14</f>
        <v>370822.78005832853</v>
      </c>
      <c r="F13" s="147">
        <f t="shared" ref="F13:N13" si="3">F6*F14</f>
        <v>476039.34504664416</v>
      </c>
      <c r="G13" s="147">
        <f t="shared" si="3"/>
        <v>562108.41976194177</v>
      </c>
      <c r="H13" s="147">
        <f t="shared" si="3"/>
        <v>656896.88161438773</v>
      </c>
      <c r="I13" s="147">
        <f t="shared" si="3"/>
        <v>730030.14003870706</v>
      </c>
      <c r="J13" s="147">
        <f t="shared" si="3"/>
        <v>861827.68161253829</v>
      </c>
      <c r="K13" s="147">
        <f t="shared" si="3"/>
        <v>962542.13821839006</v>
      </c>
      <c r="L13" s="147">
        <f t="shared" si="3"/>
        <v>1085273.7964731287</v>
      </c>
      <c r="M13" s="147">
        <f t="shared" si="3"/>
        <v>1248684.8331537205</v>
      </c>
      <c r="N13" s="147">
        <f t="shared" si="3"/>
        <v>1424549.6164142683</v>
      </c>
    </row>
    <row r="14" spans="2:14" ht="20.100000000000001" customHeight="1" x14ac:dyDescent="0.25">
      <c r="D14" s="151" t="s">
        <v>449</v>
      </c>
      <c r="E14" s="152">
        <f>(E6-E11)/E6</f>
        <v>0.23187443478709843</v>
      </c>
      <c r="F14" s="152">
        <f t="shared" ref="F14:N14" si="4">(F6-F11)/F6</f>
        <v>0.26675650083482877</v>
      </c>
      <c r="G14" s="152">
        <f t="shared" si="4"/>
        <v>0.29553399209485481</v>
      </c>
      <c r="H14" s="152">
        <f t="shared" si="4"/>
        <v>0.32305144010294889</v>
      </c>
      <c r="I14" s="152">
        <f t="shared" si="4"/>
        <v>0.33576419094771415</v>
      </c>
      <c r="J14" s="152">
        <f t="shared" si="4"/>
        <v>0.37084413527549775</v>
      </c>
      <c r="K14" s="152">
        <f t="shared" si="4"/>
        <v>0.38738202253601234</v>
      </c>
      <c r="L14" s="152">
        <f t="shared" si="4"/>
        <v>0.40844777861157477</v>
      </c>
      <c r="M14" s="152">
        <f t="shared" si="4"/>
        <v>0.43955761182979264</v>
      </c>
      <c r="N14" s="152">
        <f t="shared" si="4"/>
        <v>0.468999014902723</v>
      </c>
    </row>
    <row r="15" spans="2:14" x14ac:dyDescent="0.25">
      <c r="E15" s="86"/>
    </row>
    <row r="16" spans="2:14" x14ac:dyDescent="0.25">
      <c r="E16" s="86"/>
    </row>
    <row r="17" spans="2:10" x14ac:dyDescent="0.25">
      <c r="D17" s="624" t="s">
        <v>708</v>
      </c>
      <c r="E17" s="620"/>
    </row>
    <row r="18" spans="2:10" x14ac:dyDescent="0.25">
      <c r="D18" s="109"/>
      <c r="E18" s="621"/>
    </row>
    <row r="19" spans="2:10" x14ac:dyDescent="0.25">
      <c r="D19" s="394" t="s">
        <v>702</v>
      </c>
      <c r="E19" s="619">
        <f>'INGRESOS AFILIACIONES'!I53</f>
        <v>1174.8479217436029</v>
      </c>
      <c r="I19" s="153"/>
      <c r="J19" s="153"/>
    </row>
    <row r="20" spans="2:10" x14ac:dyDescent="0.25">
      <c r="D20" s="394" t="s">
        <v>703</v>
      </c>
      <c r="E20" s="619">
        <f>E7/1330</f>
        <v>53.698611723774029</v>
      </c>
    </row>
    <row r="21" spans="2:10" x14ac:dyDescent="0.25">
      <c r="D21" s="394" t="s">
        <v>704</v>
      </c>
      <c r="E21" s="414">
        <f>E10</f>
        <v>1173557.9496355986</v>
      </c>
    </row>
    <row r="22" spans="2:10" x14ac:dyDescent="0.25">
      <c r="D22" s="622"/>
      <c r="E22" s="623"/>
    </row>
    <row r="23" spans="2:10" x14ac:dyDescent="0.25">
      <c r="D23" s="394" t="s">
        <v>705</v>
      </c>
      <c r="E23" s="619">
        <f>E21/(E19-E20)</f>
        <v>1046.7454594561029</v>
      </c>
    </row>
    <row r="30" spans="2:10" x14ac:dyDescent="0.25">
      <c r="B30" s="111"/>
      <c r="C30" s="111"/>
    </row>
  </sheetData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2:L16"/>
  <sheetViews>
    <sheetView showGridLines="0" zoomScale="85" zoomScaleNormal="85" workbookViewId="0">
      <selection activeCell="C16" sqref="C16"/>
    </sheetView>
  </sheetViews>
  <sheetFormatPr baseColWidth="10" defaultColWidth="11" defaultRowHeight="12.75" outlineLevelRow="1" outlineLevelCol="1" x14ac:dyDescent="0.2"/>
  <cols>
    <col min="1" max="2" width="11" style="240"/>
    <col min="3" max="3" width="13.85546875" style="240" customWidth="1"/>
    <col min="4" max="4" width="14" style="240" customWidth="1" outlineLevel="1"/>
    <col min="5" max="12" width="11.7109375" style="240" bestFit="1" customWidth="1" outlineLevel="1"/>
    <col min="13" max="16384" width="11" style="240"/>
  </cols>
  <sheetData>
    <row r="2" spans="2:12" x14ac:dyDescent="0.2">
      <c r="B2" s="636" t="s">
        <v>690</v>
      </c>
      <c r="C2" s="637"/>
      <c r="D2" s="655"/>
      <c r="E2" s="655"/>
      <c r="F2" s="656"/>
      <c r="G2" s="655"/>
      <c r="H2" s="656"/>
      <c r="I2" s="655"/>
      <c r="J2" s="656"/>
      <c r="K2" s="655"/>
      <c r="L2" s="657"/>
    </row>
    <row r="3" spans="2:12" collapsed="1" x14ac:dyDescent="0.2">
      <c r="B3" s="638"/>
      <c r="C3" s="244"/>
      <c r="D3" s="658" t="s">
        <v>660</v>
      </c>
      <c r="E3" s="658" t="s">
        <v>679</v>
      </c>
      <c r="F3" s="659" t="s">
        <v>680</v>
      </c>
      <c r="G3" s="658" t="s">
        <v>681</v>
      </c>
      <c r="H3" s="659" t="s">
        <v>682</v>
      </c>
      <c r="I3" s="658" t="s">
        <v>684</v>
      </c>
      <c r="J3" s="659" t="s">
        <v>685</v>
      </c>
      <c r="K3" s="658" t="s">
        <v>686</v>
      </c>
      <c r="L3" s="660" t="s">
        <v>687</v>
      </c>
    </row>
    <row r="4" spans="2:12" ht="51" hidden="1" outlineLevel="1" x14ac:dyDescent="0.2">
      <c r="B4" s="639"/>
      <c r="C4" s="241"/>
      <c r="D4" s="653"/>
      <c r="E4" s="625" t="s">
        <v>658</v>
      </c>
      <c r="F4" s="242" t="s">
        <v>658</v>
      </c>
      <c r="G4" s="625"/>
      <c r="H4" s="242" t="s">
        <v>683</v>
      </c>
      <c r="I4" s="625" t="s">
        <v>658</v>
      </c>
      <c r="J4" s="242"/>
      <c r="K4" s="625"/>
      <c r="L4" s="640"/>
    </row>
    <row r="5" spans="2:12" x14ac:dyDescent="0.2">
      <c r="B5" s="641" t="s">
        <v>659</v>
      </c>
      <c r="C5" s="245"/>
      <c r="D5" s="626"/>
      <c r="E5" s="626"/>
      <c r="F5" s="243"/>
      <c r="G5" s="626"/>
      <c r="H5" s="243"/>
      <c r="I5" s="626"/>
      <c r="J5" s="243"/>
      <c r="K5" s="626"/>
      <c r="L5" s="642"/>
    </row>
    <row r="6" spans="2:12" outlineLevel="1" x14ac:dyDescent="0.2">
      <c r="B6" s="643" t="s">
        <v>664</v>
      </c>
      <c r="C6" s="246"/>
      <c r="D6" s="634">
        <v>1016.1016949152501</v>
      </c>
      <c r="E6" s="627">
        <v>884</v>
      </c>
      <c r="F6" s="261">
        <v>924</v>
      </c>
      <c r="G6" s="627">
        <v>1169</v>
      </c>
      <c r="H6" s="261">
        <v>1118</v>
      </c>
      <c r="I6" s="627">
        <v>1016.1016949152501</v>
      </c>
      <c r="J6" s="261">
        <v>1016.1016949152501</v>
      </c>
      <c r="K6" s="627">
        <v>1016.1016949152501</v>
      </c>
      <c r="L6" s="644">
        <v>1016.1016949152501</v>
      </c>
    </row>
    <row r="7" spans="2:12" outlineLevel="1" x14ac:dyDescent="0.2">
      <c r="B7" s="643" t="s">
        <v>665</v>
      </c>
      <c r="C7" s="246"/>
      <c r="D7" s="634">
        <v>1862.71186440678</v>
      </c>
      <c r="E7" s="627">
        <v>1620</v>
      </c>
      <c r="F7" s="261">
        <v>1693</v>
      </c>
      <c r="G7" s="627">
        <v>2142</v>
      </c>
      <c r="H7" s="261">
        <v>2049</v>
      </c>
      <c r="I7" s="627">
        <v>1862.71186440678</v>
      </c>
      <c r="J7" s="261">
        <v>1862.71186440678</v>
      </c>
      <c r="K7" s="627">
        <v>1862.71186440678</v>
      </c>
      <c r="L7" s="644">
        <v>1862.71186440678</v>
      </c>
    </row>
    <row r="8" spans="2:12" outlineLevel="1" x14ac:dyDescent="0.2">
      <c r="B8" s="643" t="s">
        <v>688</v>
      </c>
      <c r="C8" s="246"/>
      <c r="D8" s="654">
        <v>1133</v>
      </c>
      <c r="E8" s="628">
        <v>1133</v>
      </c>
      <c r="F8" s="262">
        <v>1133</v>
      </c>
      <c r="G8" s="628">
        <v>1133</v>
      </c>
      <c r="H8" s="262">
        <v>1133</v>
      </c>
      <c r="I8" s="628">
        <v>985</v>
      </c>
      <c r="J8" s="262">
        <v>1030</v>
      </c>
      <c r="K8" s="628">
        <v>1246</v>
      </c>
      <c r="L8" s="645">
        <v>1303</v>
      </c>
    </row>
    <row r="9" spans="2:12" x14ac:dyDescent="0.2">
      <c r="B9" s="641" t="s">
        <v>661</v>
      </c>
      <c r="C9" s="245"/>
      <c r="D9" s="629"/>
      <c r="E9" s="629"/>
      <c r="F9" s="259"/>
      <c r="G9" s="629"/>
      <c r="H9" s="259"/>
      <c r="I9" s="629"/>
      <c r="J9" s="259"/>
      <c r="K9" s="629"/>
      <c r="L9" s="646"/>
    </row>
    <row r="10" spans="2:12" outlineLevel="1" x14ac:dyDescent="0.2">
      <c r="B10" s="643" t="s">
        <v>536</v>
      </c>
      <c r="C10" s="246"/>
      <c r="D10" s="633">
        <v>0.213592</v>
      </c>
      <c r="E10" s="630">
        <v>0.213592</v>
      </c>
      <c r="F10" s="260">
        <v>0.213592</v>
      </c>
      <c r="G10" s="633">
        <v>0.213592</v>
      </c>
      <c r="H10" s="260">
        <v>0.213592</v>
      </c>
      <c r="I10" s="630">
        <v>0.213592</v>
      </c>
      <c r="J10" s="260">
        <v>0.213592</v>
      </c>
      <c r="K10" s="633">
        <v>0.213592</v>
      </c>
      <c r="L10" s="647">
        <v>0.213592</v>
      </c>
    </row>
    <row r="11" spans="2:12" outlineLevel="1" x14ac:dyDescent="0.2">
      <c r="B11" s="643" t="s">
        <v>689</v>
      </c>
      <c r="C11" s="246"/>
      <c r="D11" s="634">
        <v>515478.01182631799</v>
      </c>
      <c r="E11" s="631">
        <v>-57006.786442980003</v>
      </c>
      <c r="F11" s="258">
        <v>115943.450661314</v>
      </c>
      <c r="G11" s="634">
        <v>1176773.2164631099</v>
      </c>
      <c r="H11" s="258">
        <v>956322.04669665196</v>
      </c>
      <c r="I11" s="631">
        <v>-165570.29332286501</v>
      </c>
      <c r="J11" s="258">
        <v>41827.755606854902</v>
      </c>
      <c r="K11" s="634">
        <v>1017207.0918173901</v>
      </c>
      <c r="L11" s="648">
        <v>1254333.7951314701</v>
      </c>
    </row>
    <row r="12" spans="2:12" outlineLevel="1" x14ac:dyDescent="0.2">
      <c r="B12" s="643" t="s">
        <v>666</v>
      </c>
      <c r="C12" s="246"/>
      <c r="D12" s="633">
        <v>0.30477329624814797</v>
      </c>
      <c r="E12" s="630">
        <v>0.20318110984077001</v>
      </c>
      <c r="F12" s="260">
        <v>0.234532496353442</v>
      </c>
      <c r="G12" s="633">
        <v>0.41681465068011297</v>
      </c>
      <c r="H12" s="260">
        <v>0.37987939815135602</v>
      </c>
      <c r="I12" s="630">
        <v>0.183049153919361</v>
      </c>
      <c r="J12" s="260">
        <v>0.22119349921651099</v>
      </c>
      <c r="K12" s="633">
        <v>0.38968361469264101</v>
      </c>
      <c r="L12" s="647">
        <v>0.42874539562166702</v>
      </c>
    </row>
    <row r="13" spans="2:12" outlineLevel="1" x14ac:dyDescent="0.2">
      <c r="B13" s="649" t="s">
        <v>667</v>
      </c>
      <c r="C13" s="650"/>
      <c r="D13" s="635">
        <v>6.6625165471535599</v>
      </c>
      <c r="E13" s="632">
        <v>10.469467021482799</v>
      </c>
      <c r="F13" s="651">
        <v>9.0566163007113794</v>
      </c>
      <c r="G13" s="635">
        <v>4.1960561030925403</v>
      </c>
      <c r="H13" s="651">
        <v>4.8782864575576097</v>
      </c>
      <c r="I13" s="632">
        <v>11.529573155319101</v>
      </c>
      <c r="J13" s="651">
        <v>9.6270256074480898</v>
      </c>
      <c r="K13" s="635">
        <v>4.7158633693498704</v>
      </c>
      <c r="L13" s="652">
        <v>4.0646099607275001</v>
      </c>
    </row>
    <row r="14" spans="2:12" x14ac:dyDescent="0.2">
      <c r="B14" s="240" t="s">
        <v>662</v>
      </c>
    </row>
    <row r="15" spans="2:12" x14ac:dyDescent="0.2">
      <c r="B15" s="240" t="s">
        <v>663</v>
      </c>
    </row>
    <row r="16" spans="2:12" x14ac:dyDescent="0.2">
      <c r="B16" s="240" t="s">
        <v>701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3"/>
  <sheetViews>
    <sheetView topLeftCell="A45" zoomScale="70" zoomScaleNormal="70" workbookViewId="0">
      <selection activeCell="D80" sqref="D80"/>
    </sheetView>
  </sheetViews>
  <sheetFormatPr baseColWidth="10" defaultColWidth="33.140625" defaultRowHeight="12.75" x14ac:dyDescent="0.25"/>
  <cols>
    <col min="1" max="1" width="41" style="312" customWidth="1"/>
    <col min="2" max="2" width="15.42578125" style="312" customWidth="1"/>
    <col min="3" max="3" width="9.28515625" style="312" customWidth="1"/>
    <col min="4" max="4" width="13.28515625" style="312" customWidth="1"/>
    <col min="5" max="5" width="14.5703125" style="312" customWidth="1"/>
    <col min="6" max="16384" width="33.140625" style="312"/>
  </cols>
  <sheetData>
    <row r="1" spans="1:8" x14ac:dyDescent="0.25">
      <c r="A1" s="384" t="s">
        <v>422</v>
      </c>
      <c r="B1" s="309">
        <v>3.3</v>
      </c>
    </row>
    <row r="3" spans="1:8" x14ac:dyDescent="0.25">
      <c r="A3" s="385" t="s">
        <v>178</v>
      </c>
      <c r="B3" s="384" t="s">
        <v>469</v>
      </c>
      <c r="C3" s="384" t="s">
        <v>306</v>
      </c>
      <c r="D3" s="384" t="s">
        <v>496</v>
      </c>
      <c r="E3" s="384" t="s">
        <v>497</v>
      </c>
    </row>
    <row r="4" spans="1:8" x14ac:dyDescent="0.25">
      <c r="A4" s="386" t="s">
        <v>399</v>
      </c>
      <c r="B4" s="386"/>
      <c r="C4" s="384"/>
      <c r="D4" s="384"/>
      <c r="E4" s="384"/>
    </row>
    <row r="5" spans="1:8" x14ac:dyDescent="0.25">
      <c r="A5" s="90" t="s">
        <v>619</v>
      </c>
      <c r="B5" s="309"/>
      <c r="C5" s="18">
        <v>1</v>
      </c>
      <c r="D5" s="20">
        <v>1800</v>
      </c>
      <c r="E5" s="20">
        <f>C5*D5</f>
        <v>1800</v>
      </c>
      <c r="F5" s="387"/>
      <c r="G5" s="387"/>
      <c r="H5" s="387"/>
    </row>
    <row r="6" spans="1:8" x14ac:dyDescent="0.25">
      <c r="A6" s="90" t="s">
        <v>617</v>
      </c>
      <c r="B6" s="309"/>
      <c r="C6" s="18">
        <v>1</v>
      </c>
      <c r="D6" s="20">
        <v>400</v>
      </c>
      <c r="E6" s="20">
        <f t="shared" ref="E6:E14" si="0">C6*D6</f>
        <v>400</v>
      </c>
      <c r="F6" s="387"/>
      <c r="G6" s="387"/>
      <c r="H6" s="387"/>
    </row>
    <row r="7" spans="1:8" x14ac:dyDescent="0.25">
      <c r="A7" s="90" t="s">
        <v>618</v>
      </c>
      <c r="B7" s="309"/>
      <c r="C7" s="18">
        <v>1</v>
      </c>
      <c r="D7" s="20">
        <v>2216</v>
      </c>
      <c r="E7" s="20">
        <f t="shared" si="0"/>
        <v>2216</v>
      </c>
      <c r="F7" s="387"/>
      <c r="G7" s="387"/>
      <c r="H7" s="387"/>
    </row>
    <row r="8" spans="1:8" x14ac:dyDescent="0.25">
      <c r="A8" s="90" t="s">
        <v>400</v>
      </c>
      <c r="B8" s="309"/>
      <c r="C8" s="18">
        <v>1</v>
      </c>
      <c r="D8" s="20">
        <v>400</v>
      </c>
      <c r="E8" s="20">
        <f t="shared" si="0"/>
        <v>400</v>
      </c>
      <c r="F8" s="387"/>
      <c r="G8" s="387"/>
      <c r="H8" s="387"/>
    </row>
    <row r="9" spans="1:8" x14ac:dyDescent="0.25">
      <c r="A9" s="90" t="s">
        <v>401</v>
      </c>
      <c r="B9" s="309"/>
      <c r="C9" s="18">
        <v>1</v>
      </c>
      <c r="D9" s="20">
        <v>147.30000000000001</v>
      </c>
      <c r="E9" s="20">
        <f t="shared" si="0"/>
        <v>147.30000000000001</v>
      </c>
      <c r="F9" s="387"/>
      <c r="G9" s="387"/>
      <c r="H9" s="387"/>
    </row>
    <row r="10" spans="1:8" x14ac:dyDescent="0.25">
      <c r="A10" s="90" t="s">
        <v>620</v>
      </c>
      <c r="B10" s="309"/>
      <c r="C10" s="18">
        <v>1</v>
      </c>
      <c r="D10" s="20">
        <v>794.6</v>
      </c>
      <c r="E10" s="20">
        <f t="shared" si="0"/>
        <v>794.6</v>
      </c>
      <c r="F10" s="387"/>
      <c r="G10" s="387"/>
      <c r="H10" s="387"/>
    </row>
    <row r="11" spans="1:8" x14ac:dyDescent="0.25">
      <c r="A11" s="90" t="s">
        <v>621</v>
      </c>
      <c r="B11" s="309"/>
      <c r="C11" s="18">
        <v>1</v>
      </c>
      <c r="D11" s="20">
        <v>20000</v>
      </c>
      <c r="E11" s="20">
        <f t="shared" si="0"/>
        <v>20000</v>
      </c>
      <c r="F11" s="387"/>
      <c r="G11" s="387"/>
      <c r="H11" s="387"/>
    </row>
    <row r="12" spans="1:8" x14ac:dyDescent="0.25">
      <c r="A12" s="90" t="s">
        <v>622</v>
      </c>
      <c r="B12" s="309"/>
      <c r="C12" s="18">
        <v>4</v>
      </c>
      <c r="D12" s="20">
        <v>109.9</v>
      </c>
      <c r="E12" s="20">
        <f t="shared" si="0"/>
        <v>439.6</v>
      </c>
      <c r="F12" s="387"/>
      <c r="G12" s="387"/>
      <c r="H12" s="387"/>
    </row>
    <row r="13" spans="1:8" x14ac:dyDescent="0.25">
      <c r="A13" s="90" t="s">
        <v>623</v>
      </c>
      <c r="B13" s="309"/>
      <c r="C13" s="18">
        <v>2</v>
      </c>
      <c r="D13" s="20">
        <v>190</v>
      </c>
      <c r="E13" s="20">
        <f t="shared" si="0"/>
        <v>380</v>
      </c>
      <c r="F13" s="387"/>
      <c r="G13" s="387"/>
      <c r="H13" s="387"/>
    </row>
    <row r="14" spans="1:8" x14ac:dyDescent="0.25">
      <c r="A14" s="90" t="s">
        <v>402</v>
      </c>
      <c r="B14" s="309"/>
      <c r="C14" s="18">
        <v>1</v>
      </c>
      <c r="D14" s="20">
        <v>15700</v>
      </c>
      <c r="E14" s="20">
        <f t="shared" si="0"/>
        <v>15700</v>
      </c>
      <c r="F14" s="387"/>
      <c r="G14" s="387"/>
      <c r="H14" s="387"/>
    </row>
    <row r="15" spans="1:8" x14ac:dyDescent="0.25">
      <c r="A15" s="342" t="s">
        <v>114</v>
      </c>
      <c r="B15" s="343"/>
      <c r="C15" s="327"/>
      <c r="D15" s="331"/>
      <c r="E15" s="332">
        <f>SUM(E5:E14)</f>
        <v>42277.5</v>
      </c>
      <c r="F15" s="387"/>
      <c r="G15" s="387"/>
      <c r="H15" s="387"/>
    </row>
    <row r="16" spans="1:8" x14ac:dyDescent="0.25">
      <c r="A16" s="386" t="s">
        <v>593</v>
      </c>
      <c r="B16" s="384"/>
      <c r="C16" s="384" t="s">
        <v>306</v>
      </c>
      <c r="D16" s="384" t="s">
        <v>496</v>
      </c>
      <c r="E16" s="384" t="s">
        <v>497</v>
      </c>
      <c r="F16" s="387"/>
      <c r="G16" s="387"/>
      <c r="H16" s="387"/>
    </row>
    <row r="17" spans="1:8" x14ac:dyDescent="0.25">
      <c r="A17" s="91" t="s">
        <v>403</v>
      </c>
      <c r="B17" s="309"/>
      <c r="C17" s="18">
        <v>1</v>
      </c>
      <c r="D17" s="20">
        <v>1500</v>
      </c>
      <c r="E17" s="20">
        <f t="shared" ref="E17:E25" si="1">D17*C17</f>
        <v>1500</v>
      </c>
      <c r="F17" s="387"/>
      <c r="G17" s="387"/>
      <c r="H17" s="387"/>
    </row>
    <row r="18" spans="1:8" ht="25.5" x14ac:dyDescent="0.25">
      <c r="A18" s="91" t="s">
        <v>404</v>
      </c>
      <c r="B18" s="309"/>
      <c r="C18" s="18">
        <v>1</v>
      </c>
      <c r="D18" s="20">
        <v>2000</v>
      </c>
      <c r="E18" s="20">
        <f t="shared" si="1"/>
        <v>2000</v>
      </c>
      <c r="F18" s="387"/>
      <c r="G18" s="387"/>
      <c r="H18" s="387"/>
    </row>
    <row r="19" spans="1:8" x14ac:dyDescent="0.25">
      <c r="A19" s="91" t="s">
        <v>405</v>
      </c>
      <c r="B19" s="309"/>
      <c r="C19" s="18">
        <v>4</v>
      </c>
      <c r="D19" s="20">
        <v>95</v>
      </c>
      <c r="E19" s="20">
        <f t="shared" si="1"/>
        <v>380</v>
      </c>
      <c r="F19" s="387"/>
      <c r="G19" s="387"/>
      <c r="H19" s="387"/>
    </row>
    <row r="20" spans="1:8" x14ac:dyDescent="0.25">
      <c r="A20" s="91" t="s">
        <v>602</v>
      </c>
      <c r="B20" s="309"/>
      <c r="C20" s="18">
        <v>1</v>
      </c>
      <c r="D20" s="20">
        <v>250</v>
      </c>
      <c r="E20" s="20">
        <f>C20*D20</f>
        <v>250</v>
      </c>
      <c r="F20" s="387"/>
      <c r="G20" s="387"/>
      <c r="H20" s="387"/>
    </row>
    <row r="21" spans="1:8" x14ac:dyDescent="0.25">
      <c r="A21" s="91" t="s">
        <v>406</v>
      </c>
      <c r="B21" s="309"/>
      <c r="C21" s="18">
        <v>1</v>
      </c>
      <c r="D21" s="20"/>
      <c r="E21" s="20">
        <f>SUM(E22:E25)</f>
        <v>4355.6000000000004</v>
      </c>
      <c r="F21" s="387"/>
      <c r="G21" s="387"/>
      <c r="H21" s="387"/>
    </row>
    <row r="22" spans="1:8" x14ac:dyDescent="0.25">
      <c r="A22" s="31" t="s">
        <v>598</v>
      </c>
      <c r="B22" s="309"/>
      <c r="C22" s="18">
        <v>1</v>
      </c>
      <c r="D22" s="20">
        <v>844</v>
      </c>
      <c r="E22" s="20">
        <f t="shared" si="1"/>
        <v>844</v>
      </c>
      <c r="F22" s="387"/>
      <c r="G22" s="387"/>
      <c r="H22" s="387"/>
    </row>
    <row r="23" spans="1:8" x14ac:dyDescent="0.25">
      <c r="A23" s="31" t="s">
        <v>599</v>
      </c>
      <c r="B23" s="309"/>
      <c r="C23" s="18">
        <v>1</v>
      </c>
      <c r="D23" s="20">
        <v>2881.36</v>
      </c>
      <c r="E23" s="20">
        <f t="shared" si="1"/>
        <v>2881.36</v>
      </c>
      <c r="F23" s="387"/>
      <c r="G23" s="387"/>
      <c r="H23" s="387"/>
    </row>
    <row r="24" spans="1:8" x14ac:dyDescent="0.25">
      <c r="A24" s="31" t="s">
        <v>600</v>
      </c>
      <c r="B24" s="309"/>
      <c r="C24" s="18">
        <v>1</v>
      </c>
      <c r="D24" s="20">
        <v>300</v>
      </c>
      <c r="E24" s="20">
        <f t="shared" si="1"/>
        <v>300</v>
      </c>
      <c r="F24" s="387"/>
      <c r="G24" s="387"/>
      <c r="H24" s="387"/>
    </row>
    <row r="25" spans="1:8" x14ac:dyDescent="0.25">
      <c r="A25" s="31" t="s">
        <v>601</v>
      </c>
      <c r="B25" s="309"/>
      <c r="C25" s="18">
        <v>3</v>
      </c>
      <c r="D25" s="20">
        <v>110.08</v>
      </c>
      <c r="E25" s="20">
        <f t="shared" si="1"/>
        <v>330.24</v>
      </c>
      <c r="F25" s="387"/>
      <c r="G25" s="387"/>
      <c r="H25" s="387"/>
    </row>
    <row r="26" spans="1:8" x14ac:dyDescent="0.25">
      <c r="A26" s="91" t="s">
        <v>594</v>
      </c>
      <c r="B26" s="309"/>
      <c r="C26" s="18">
        <v>3</v>
      </c>
      <c r="D26" s="20">
        <v>450</v>
      </c>
      <c r="E26" s="20">
        <f t="shared" ref="E26:E31" si="2">C26*D26</f>
        <v>1350</v>
      </c>
      <c r="F26" s="387"/>
      <c r="G26" s="387"/>
      <c r="H26" s="387"/>
    </row>
    <row r="27" spans="1:8" x14ac:dyDescent="0.25">
      <c r="A27" s="91" t="s">
        <v>595</v>
      </c>
      <c r="B27" s="309"/>
      <c r="C27" s="18">
        <v>1</v>
      </c>
      <c r="D27" s="20">
        <v>350</v>
      </c>
      <c r="E27" s="20">
        <f t="shared" si="2"/>
        <v>350</v>
      </c>
      <c r="F27" s="387"/>
      <c r="G27" s="387"/>
      <c r="H27" s="387"/>
    </row>
    <row r="28" spans="1:8" ht="25.5" customHeight="1" x14ac:dyDescent="0.25">
      <c r="A28" s="91" t="s">
        <v>596</v>
      </c>
      <c r="B28" s="309"/>
      <c r="C28" s="18">
        <v>1</v>
      </c>
      <c r="D28" s="20">
        <v>350</v>
      </c>
      <c r="E28" s="20">
        <f t="shared" si="2"/>
        <v>350</v>
      </c>
      <c r="F28" s="387"/>
      <c r="G28" s="387"/>
      <c r="H28" s="387"/>
    </row>
    <row r="29" spans="1:8" x14ac:dyDescent="0.25">
      <c r="A29" s="91" t="s">
        <v>597</v>
      </c>
      <c r="B29" s="309"/>
      <c r="C29" s="18">
        <v>1</v>
      </c>
      <c r="D29" s="20">
        <v>350</v>
      </c>
      <c r="E29" s="20">
        <f t="shared" si="2"/>
        <v>350</v>
      </c>
      <c r="F29" s="387"/>
      <c r="G29" s="387"/>
      <c r="H29" s="387"/>
    </row>
    <row r="30" spans="1:8" x14ac:dyDescent="0.25">
      <c r="A30" s="91" t="s">
        <v>453</v>
      </c>
      <c r="B30" s="309"/>
      <c r="C30" s="18">
        <v>1</v>
      </c>
      <c r="D30" s="20">
        <v>4972</v>
      </c>
      <c r="E30" s="20">
        <f t="shared" si="2"/>
        <v>4972</v>
      </c>
      <c r="F30" s="387"/>
      <c r="G30" s="387"/>
      <c r="H30" s="387"/>
    </row>
    <row r="31" spans="1:8" x14ac:dyDescent="0.25">
      <c r="A31" s="91" t="s">
        <v>407</v>
      </c>
      <c r="B31" s="309"/>
      <c r="C31" s="18">
        <v>1</v>
      </c>
      <c r="D31" s="20">
        <v>4500</v>
      </c>
      <c r="E31" s="20">
        <f t="shared" si="2"/>
        <v>4500</v>
      </c>
      <c r="F31" s="387"/>
      <c r="G31" s="387"/>
      <c r="H31" s="387"/>
    </row>
    <row r="32" spans="1:8" x14ac:dyDescent="0.25">
      <c r="A32" s="91" t="s">
        <v>526</v>
      </c>
      <c r="B32" s="309"/>
      <c r="C32" s="18">
        <v>2</v>
      </c>
      <c r="D32" s="20">
        <v>700</v>
      </c>
      <c r="E32" s="20">
        <f>C32*D32</f>
        <v>1400</v>
      </c>
      <c r="F32" s="387"/>
      <c r="G32" s="387"/>
      <c r="H32" s="387"/>
    </row>
    <row r="33" spans="1:8" x14ac:dyDescent="0.25">
      <c r="A33" s="388" t="s">
        <v>114</v>
      </c>
      <c r="B33" s="388"/>
      <c r="C33" s="352"/>
      <c r="D33" s="328"/>
      <c r="E33" s="328">
        <f>SUM(E17:E21)+SUM(E26:E32)</f>
        <v>21757.599999999999</v>
      </c>
      <c r="F33" s="387"/>
      <c r="G33" s="387"/>
      <c r="H33" s="387"/>
    </row>
    <row r="34" spans="1:8" x14ac:dyDescent="0.25">
      <c r="A34" s="386" t="s">
        <v>166</v>
      </c>
      <c r="B34" s="384" t="s">
        <v>469</v>
      </c>
      <c r="C34" s="384" t="s">
        <v>306</v>
      </c>
      <c r="D34" s="384" t="s">
        <v>496</v>
      </c>
      <c r="E34" s="384" t="s">
        <v>497</v>
      </c>
      <c r="F34" s="387"/>
      <c r="G34" s="387"/>
      <c r="H34" s="387"/>
    </row>
    <row r="35" spans="1:8" x14ac:dyDescent="0.25">
      <c r="A35" s="90" t="s">
        <v>408</v>
      </c>
      <c r="B35" s="30"/>
      <c r="C35" s="18">
        <v>3</v>
      </c>
      <c r="D35" s="20">
        <f>6720*3.3</f>
        <v>22176</v>
      </c>
      <c r="E35" s="20">
        <f>D35*C35</f>
        <v>66528</v>
      </c>
      <c r="F35" s="387"/>
      <c r="G35" s="387"/>
      <c r="H35" s="387"/>
    </row>
    <row r="36" spans="1:8" x14ac:dyDescent="0.25">
      <c r="A36" s="90" t="s">
        <v>409</v>
      </c>
      <c r="B36" s="30"/>
      <c r="C36" s="18">
        <v>1</v>
      </c>
      <c r="D36" s="20">
        <f>6720*3.3</f>
        <v>22176</v>
      </c>
      <c r="E36" s="20">
        <f>D36*C36</f>
        <v>22176</v>
      </c>
      <c r="F36" s="387"/>
      <c r="G36" s="387"/>
      <c r="H36" s="387"/>
    </row>
    <row r="37" spans="1:8" x14ac:dyDescent="0.25">
      <c r="A37" s="388" t="s">
        <v>114</v>
      </c>
      <c r="B37" s="388"/>
      <c r="C37" s="352"/>
      <c r="D37" s="328"/>
      <c r="E37" s="328">
        <f>SUM(E35:E36)</f>
        <v>88704</v>
      </c>
      <c r="F37" s="387"/>
      <c r="G37" s="387"/>
      <c r="H37" s="387"/>
    </row>
    <row r="38" spans="1:8" x14ac:dyDescent="0.25">
      <c r="A38" s="386" t="s">
        <v>615</v>
      </c>
      <c r="B38" s="384" t="s">
        <v>469</v>
      </c>
      <c r="C38" s="384" t="s">
        <v>306</v>
      </c>
      <c r="D38" s="384" t="s">
        <v>496</v>
      </c>
      <c r="E38" s="384" t="s">
        <v>497</v>
      </c>
      <c r="F38" s="387"/>
      <c r="G38" s="387"/>
      <c r="H38" s="387"/>
    </row>
    <row r="39" spans="1:8" x14ac:dyDescent="0.25">
      <c r="A39" s="389" t="s">
        <v>616</v>
      </c>
      <c r="B39" s="309"/>
      <c r="C39" s="18">
        <v>1</v>
      </c>
      <c r="D39" s="20">
        <f>2500*B1</f>
        <v>8250</v>
      </c>
      <c r="E39" s="20">
        <f>C39*D39</f>
        <v>8250</v>
      </c>
      <c r="F39" s="387"/>
      <c r="G39" s="387"/>
      <c r="H39" s="387"/>
    </row>
    <row r="40" spans="1:8" x14ac:dyDescent="0.25">
      <c r="A40" s="388" t="s">
        <v>114</v>
      </c>
      <c r="B40" s="388"/>
      <c r="C40" s="352"/>
      <c r="D40" s="352"/>
      <c r="E40" s="328">
        <f>SUM(E39)</f>
        <v>8250</v>
      </c>
      <c r="F40" s="387"/>
      <c r="G40" s="387"/>
      <c r="H40" s="387"/>
    </row>
    <row r="41" spans="1:8" x14ac:dyDescent="0.25">
      <c r="A41" s="386" t="s">
        <v>410</v>
      </c>
      <c r="B41" s="384" t="s">
        <v>469</v>
      </c>
      <c r="C41" s="384" t="s">
        <v>306</v>
      </c>
      <c r="D41" s="384" t="s">
        <v>496</v>
      </c>
      <c r="E41" s="384" t="s">
        <v>497</v>
      </c>
      <c r="F41" s="387"/>
      <c r="G41" s="387"/>
      <c r="H41" s="387"/>
    </row>
    <row r="42" spans="1:8" x14ac:dyDescent="0.25">
      <c r="A42" s="90" t="s">
        <v>253</v>
      </c>
      <c r="B42" s="18" t="s">
        <v>411</v>
      </c>
      <c r="C42" s="18">
        <v>1</v>
      </c>
      <c r="D42" s="20">
        <v>6000</v>
      </c>
      <c r="E42" s="20">
        <f>D42*C42*1</f>
        <v>6000</v>
      </c>
      <c r="F42" s="387"/>
      <c r="G42" s="387"/>
      <c r="H42" s="387"/>
    </row>
    <row r="43" spans="1:8" x14ac:dyDescent="0.25">
      <c r="A43" s="90" t="s">
        <v>255</v>
      </c>
      <c r="B43" s="18" t="s">
        <v>411</v>
      </c>
      <c r="C43" s="18">
        <v>1</v>
      </c>
      <c r="D43" s="20">
        <v>2000</v>
      </c>
      <c r="E43" s="20">
        <f>D43*C43*1</f>
        <v>2000</v>
      </c>
      <c r="F43" s="387"/>
      <c r="G43" s="387"/>
      <c r="H43" s="387"/>
    </row>
    <row r="44" spans="1:8" x14ac:dyDescent="0.25">
      <c r="A44" s="90" t="s">
        <v>412</v>
      </c>
      <c r="B44" s="18" t="s">
        <v>411</v>
      </c>
      <c r="C44" s="18">
        <v>1</v>
      </c>
      <c r="D44" s="20">
        <v>1200</v>
      </c>
      <c r="E44" s="20">
        <f>D44*C44</f>
        <v>1200</v>
      </c>
      <c r="F44" s="387"/>
      <c r="G44" s="387"/>
      <c r="H44" s="387"/>
    </row>
    <row r="45" spans="1:8" x14ac:dyDescent="0.25">
      <c r="A45" s="90" t="s">
        <v>611</v>
      </c>
      <c r="B45" s="18" t="s">
        <v>411</v>
      </c>
      <c r="C45" s="18">
        <v>1</v>
      </c>
      <c r="D45" s="20">
        <v>1500</v>
      </c>
      <c r="E45" s="20">
        <f>D45*C45</f>
        <v>1500</v>
      </c>
      <c r="F45" s="387"/>
      <c r="G45" s="387"/>
      <c r="H45" s="387"/>
    </row>
    <row r="46" spans="1:8" ht="15" customHeight="1" x14ac:dyDescent="0.25">
      <c r="A46" s="90" t="s">
        <v>259</v>
      </c>
      <c r="B46" s="18" t="s">
        <v>411</v>
      </c>
      <c r="C46" s="18">
        <v>0</v>
      </c>
      <c r="D46" s="20">
        <v>1000</v>
      </c>
      <c r="E46" s="20">
        <f t="shared" ref="E46:E54" si="3">D46*C46</f>
        <v>0</v>
      </c>
      <c r="F46" s="387"/>
      <c r="G46" s="387"/>
      <c r="H46" s="387"/>
    </row>
    <row r="47" spans="1:8" ht="15.75" customHeight="1" x14ac:dyDescent="0.25">
      <c r="A47" s="90" t="s">
        <v>259</v>
      </c>
      <c r="B47" s="18" t="s">
        <v>413</v>
      </c>
      <c r="C47" s="18">
        <v>0</v>
      </c>
      <c r="D47" s="20">
        <v>500</v>
      </c>
      <c r="E47" s="20">
        <f t="shared" si="3"/>
        <v>0</v>
      </c>
      <c r="F47" s="387"/>
      <c r="G47" s="387"/>
      <c r="H47" s="387"/>
    </row>
    <row r="48" spans="1:8" x14ac:dyDescent="0.25">
      <c r="A48" s="90" t="s">
        <v>262</v>
      </c>
      <c r="B48" s="18" t="s">
        <v>411</v>
      </c>
      <c r="C48" s="18">
        <v>1</v>
      </c>
      <c r="D48" s="20">
        <v>3500</v>
      </c>
      <c r="E48" s="20">
        <f t="shared" si="3"/>
        <v>3500</v>
      </c>
      <c r="F48" s="387"/>
      <c r="G48" s="387"/>
      <c r="H48" s="387"/>
    </row>
    <row r="49" spans="1:8" ht="15" customHeight="1" x14ac:dyDescent="0.25">
      <c r="A49" s="90" t="s">
        <v>263</v>
      </c>
      <c r="B49" s="18" t="s">
        <v>411</v>
      </c>
      <c r="C49" s="18">
        <v>1</v>
      </c>
      <c r="D49" s="20">
        <v>1800</v>
      </c>
      <c r="E49" s="20">
        <f t="shared" si="3"/>
        <v>1800</v>
      </c>
      <c r="F49" s="387"/>
      <c r="G49" s="387"/>
      <c r="H49" s="387"/>
    </row>
    <row r="50" spans="1:8" ht="15.75" customHeight="1" x14ac:dyDescent="0.25">
      <c r="A50" s="90" t="s">
        <v>263</v>
      </c>
      <c r="B50" s="18" t="s">
        <v>413</v>
      </c>
      <c r="C50" s="18">
        <v>0</v>
      </c>
      <c r="D50" s="20">
        <v>900</v>
      </c>
      <c r="E50" s="20">
        <f t="shared" si="3"/>
        <v>0</v>
      </c>
      <c r="F50" s="387"/>
      <c r="G50" s="387"/>
      <c r="H50" s="387"/>
    </row>
    <row r="51" spans="1:8" ht="15" customHeight="1" x14ac:dyDescent="0.25">
      <c r="A51" s="90" t="s">
        <v>266</v>
      </c>
      <c r="B51" s="18" t="s">
        <v>411</v>
      </c>
      <c r="C51" s="18">
        <v>0</v>
      </c>
      <c r="D51" s="20">
        <v>2500</v>
      </c>
      <c r="E51" s="20">
        <f t="shared" si="3"/>
        <v>0</v>
      </c>
      <c r="F51" s="387"/>
      <c r="G51" s="387"/>
      <c r="H51" s="387"/>
    </row>
    <row r="52" spans="1:8" ht="15.75" customHeight="1" x14ac:dyDescent="0.25">
      <c r="A52" s="90" t="s">
        <v>266</v>
      </c>
      <c r="B52" s="18" t="s">
        <v>413</v>
      </c>
      <c r="C52" s="18">
        <v>0</v>
      </c>
      <c r="D52" s="20">
        <v>1250</v>
      </c>
      <c r="E52" s="20">
        <f t="shared" si="3"/>
        <v>0</v>
      </c>
      <c r="F52" s="387"/>
      <c r="G52" s="387"/>
      <c r="H52" s="387"/>
    </row>
    <row r="53" spans="1:8" x14ac:dyDescent="0.25">
      <c r="A53" s="90" t="s">
        <v>156</v>
      </c>
      <c r="B53" s="18" t="s">
        <v>413</v>
      </c>
      <c r="C53" s="18">
        <v>0</v>
      </c>
      <c r="D53" s="20">
        <v>2500</v>
      </c>
      <c r="E53" s="20">
        <f t="shared" si="3"/>
        <v>0</v>
      </c>
      <c r="F53" s="387"/>
      <c r="G53" s="387"/>
      <c r="H53" s="387"/>
    </row>
    <row r="54" spans="1:8" x14ac:dyDescent="0.25">
      <c r="A54" s="90" t="s">
        <v>268</v>
      </c>
      <c r="B54" s="18" t="s">
        <v>413</v>
      </c>
      <c r="C54" s="18">
        <v>0</v>
      </c>
      <c r="D54" s="20">
        <v>1500</v>
      </c>
      <c r="E54" s="20">
        <f t="shared" si="3"/>
        <v>0</v>
      </c>
    </row>
    <row r="55" spans="1:8" x14ac:dyDescent="0.25">
      <c r="A55" s="388" t="s">
        <v>114</v>
      </c>
      <c r="B55" s="388"/>
      <c r="C55" s="352">
        <f>SUM(C42:C54)</f>
        <v>6</v>
      </c>
      <c r="D55" s="388"/>
      <c r="E55" s="328">
        <f>SUM(E42:E54)</f>
        <v>16000</v>
      </c>
    </row>
    <row r="56" spans="1:8" x14ac:dyDescent="0.25">
      <c r="A56" s="386" t="s">
        <v>562</v>
      </c>
      <c r="B56" s="384" t="s">
        <v>469</v>
      </c>
      <c r="C56" s="384" t="s">
        <v>306</v>
      </c>
      <c r="D56" s="384" t="s">
        <v>496</v>
      </c>
      <c r="E56" s="384" t="s">
        <v>497</v>
      </c>
    </row>
    <row r="57" spans="1:8" x14ac:dyDescent="0.25">
      <c r="A57" s="389" t="s">
        <v>563</v>
      </c>
      <c r="B57" s="18"/>
      <c r="C57" s="18">
        <v>18</v>
      </c>
      <c r="D57" s="20">
        <v>200</v>
      </c>
      <c r="E57" s="20">
        <f>C57*D57</f>
        <v>3600</v>
      </c>
    </row>
    <row r="58" spans="1:8" x14ac:dyDescent="0.25">
      <c r="A58" s="389" t="s">
        <v>564</v>
      </c>
      <c r="B58" s="18"/>
      <c r="C58" s="18">
        <v>18</v>
      </c>
      <c r="D58" s="20">
        <v>584.75</v>
      </c>
      <c r="E58" s="20">
        <f>C58*D58</f>
        <v>10525.5</v>
      </c>
    </row>
    <row r="59" spans="1:8" x14ac:dyDescent="0.25">
      <c r="A59" s="389" t="s">
        <v>569</v>
      </c>
      <c r="B59" s="18"/>
      <c r="C59" s="18">
        <v>5</v>
      </c>
      <c r="D59" s="20">
        <v>100</v>
      </c>
      <c r="E59" s="20">
        <f>C59*D59</f>
        <v>500</v>
      </c>
    </row>
    <row r="60" spans="1:8" x14ac:dyDescent="0.25">
      <c r="A60" s="389" t="s">
        <v>570</v>
      </c>
      <c r="B60" s="18"/>
      <c r="C60" s="18">
        <v>5</v>
      </c>
      <c r="D60" s="20">
        <v>540</v>
      </c>
      <c r="E60" s="20">
        <f>C60*D60</f>
        <v>2700</v>
      </c>
    </row>
    <row r="61" spans="1:8" x14ac:dyDescent="0.25">
      <c r="A61" s="388" t="s">
        <v>114</v>
      </c>
      <c r="B61" s="352"/>
      <c r="C61" s="352"/>
      <c r="D61" s="328"/>
      <c r="E61" s="328">
        <f>SUM(E57:E60)</f>
        <v>17325.5</v>
      </c>
    </row>
    <row r="62" spans="1:8" x14ac:dyDescent="0.25">
      <c r="A62" s="390" t="s">
        <v>566</v>
      </c>
      <c r="B62" s="384" t="s">
        <v>469</v>
      </c>
      <c r="C62" s="384" t="s">
        <v>306</v>
      </c>
      <c r="D62" s="384" t="s">
        <v>496</v>
      </c>
      <c r="E62" s="384" t="s">
        <v>497</v>
      </c>
    </row>
    <row r="63" spans="1:8" x14ac:dyDescent="0.25">
      <c r="A63" s="389" t="s">
        <v>567</v>
      </c>
      <c r="B63" s="18"/>
      <c r="C63" s="18">
        <v>15</v>
      </c>
      <c r="D63" s="20">
        <v>235</v>
      </c>
      <c r="E63" s="20">
        <f>C63*D63</f>
        <v>3525</v>
      </c>
    </row>
    <row r="64" spans="1:8" x14ac:dyDescent="0.25">
      <c r="A64" s="389" t="s">
        <v>568</v>
      </c>
      <c r="B64" s="18"/>
      <c r="C64" s="18">
        <v>1</v>
      </c>
      <c r="D64" s="20">
        <v>368.7</v>
      </c>
      <c r="E64" s="20">
        <f>C64*D64</f>
        <v>368.7</v>
      </c>
    </row>
    <row r="65" spans="1:5" x14ac:dyDescent="0.25">
      <c r="A65" s="388" t="s">
        <v>114</v>
      </c>
      <c r="B65" s="388"/>
      <c r="C65" s="388"/>
      <c r="D65" s="388"/>
      <c r="E65" s="328">
        <f>SUM(E63:E64)</f>
        <v>3893.7</v>
      </c>
    </row>
    <row r="66" spans="1:5" x14ac:dyDescent="0.25">
      <c r="A66" s="386" t="s">
        <v>668</v>
      </c>
      <c r="B66" s="386"/>
      <c r="C66" s="386"/>
      <c r="D66" s="386"/>
      <c r="E66" s="391"/>
    </row>
    <row r="67" spans="1:5" x14ac:dyDescent="0.25">
      <c r="A67" s="309" t="s">
        <v>669</v>
      </c>
      <c r="B67" s="18" t="s">
        <v>678</v>
      </c>
      <c r="C67" s="20">
        <v>121.15</v>
      </c>
      <c r="D67" s="20">
        <v>700</v>
      </c>
      <c r="E67" s="20">
        <f>(D67/1.18)*C67</f>
        <v>71868.644067796617</v>
      </c>
    </row>
    <row r="68" spans="1:5" x14ac:dyDescent="0.25">
      <c r="A68" s="31" t="s">
        <v>670</v>
      </c>
      <c r="B68" s="18" t="s">
        <v>678</v>
      </c>
      <c r="C68" s="20">
        <v>283.23</v>
      </c>
      <c r="D68" s="20">
        <v>900</v>
      </c>
      <c r="E68" s="20">
        <f t="shared" ref="E68:E75" si="4">(D68/1.18)*C68</f>
        <v>216022.88135593222</v>
      </c>
    </row>
    <row r="69" spans="1:5" x14ac:dyDescent="0.25">
      <c r="A69" s="31" t="s">
        <v>671</v>
      </c>
      <c r="B69" s="18" t="s">
        <v>678</v>
      </c>
      <c r="C69" s="20">
        <v>104</v>
      </c>
      <c r="D69" s="20">
        <v>1100</v>
      </c>
      <c r="E69" s="20">
        <f t="shared" si="4"/>
        <v>96949.152542372889</v>
      </c>
    </row>
    <row r="70" spans="1:5" x14ac:dyDescent="0.25">
      <c r="A70" s="31" t="s">
        <v>672</v>
      </c>
      <c r="B70" s="18" t="s">
        <v>678</v>
      </c>
      <c r="C70" s="20">
        <v>98.2</v>
      </c>
      <c r="D70" s="20">
        <v>1450</v>
      </c>
      <c r="E70" s="20">
        <f t="shared" si="4"/>
        <v>120669.49152542374</v>
      </c>
    </row>
    <row r="71" spans="1:5" x14ac:dyDescent="0.25">
      <c r="A71" s="31" t="s">
        <v>673</v>
      </c>
      <c r="B71" s="18" t="s">
        <v>678</v>
      </c>
      <c r="C71" s="20">
        <v>31</v>
      </c>
      <c r="D71" s="20">
        <v>600</v>
      </c>
      <c r="E71" s="20">
        <f t="shared" si="4"/>
        <v>15762.711864406781</v>
      </c>
    </row>
    <row r="72" spans="1:5" x14ac:dyDescent="0.25">
      <c r="A72" s="31" t="s">
        <v>674</v>
      </c>
      <c r="B72" s="18" t="s">
        <v>678</v>
      </c>
      <c r="C72" s="20">
        <v>119.32</v>
      </c>
      <c r="D72" s="20">
        <v>700</v>
      </c>
      <c r="E72" s="20">
        <f t="shared" si="4"/>
        <v>70783.05084745762</v>
      </c>
    </row>
    <row r="73" spans="1:5" x14ac:dyDescent="0.25">
      <c r="A73" s="31" t="s">
        <v>675</v>
      </c>
      <c r="B73" s="18" t="s">
        <v>678</v>
      </c>
      <c r="C73" s="20">
        <v>62.1</v>
      </c>
      <c r="D73" s="20">
        <v>1450</v>
      </c>
      <c r="E73" s="20">
        <f t="shared" si="4"/>
        <v>76309.322033898323</v>
      </c>
    </row>
    <row r="74" spans="1:5" ht="27" customHeight="1" x14ac:dyDescent="0.25">
      <c r="A74" s="233" t="s">
        <v>676</v>
      </c>
      <c r="B74" s="18" t="s">
        <v>678</v>
      </c>
      <c r="C74" s="20">
        <v>51</v>
      </c>
      <c r="D74" s="20">
        <v>420</v>
      </c>
      <c r="E74" s="20">
        <f t="shared" si="4"/>
        <v>18152.542372881358</v>
      </c>
    </row>
    <row r="75" spans="1:5" ht="25.5" customHeight="1" x14ac:dyDescent="0.25">
      <c r="A75" s="233" t="s">
        <v>677</v>
      </c>
      <c r="B75" s="18" t="s">
        <v>678</v>
      </c>
      <c r="C75" s="20">
        <v>99.772000000000006</v>
      </c>
      <c r="D75" s="20">
        <v>130</v>
      </c>
      <c r="E75" s="20">
        <f t="shared" si="4"/>
        <v>10991.830508474577</v>
      </c>
    </row>
    <row r="76" spans="1:5" x14ac:dyDescent="0.25">
      <c r="A76" s="342" t="s">
        <v>114</v>
      </c>
      <c r="B76" s="343"/>
      <c r="C76" s="392"/>
      <c r="D76" s="343"/>
      <c r="E76" s="332">
        <f>SUM(E67:E75)</f>
        <v>697509.62711864419</v>
      </c>
    </row>
    <row r="77" spans="1:5" x14ac:dyDescent="0.25">
      <c r="A77" s="714" t="s">
        <v>414</v>
      </c>
      <c r="B77" s="715"/>
      <c r="C77" s="715"/>
      <c r="D77" s="716"/>
      <c r="E77" s="391">
        <f>'PRE-OPERATIVO'!E15+'PRE-OPERATIVO'!E33+'PRE-OPERATIVO'!E37+'PRE-OPERATIVO'!E55+'PRE-OPERATIVO'!E40+'PRE-OPERATIVO'!E76+E61+E65</f>
        <v>895717.92711864412</v>
      </c>
    </row>
    <row r="83" spans="2:3" x14ac:dyDescent="0.25">
      <c r="B83" s="393"/>
      <c r="C83" s="393"/>
    </row>
  </sheetData>
  <mergeCells count="1">
    <mergeCell ref="A77:D77"/>
  </mergeCells>
  <pageMargins left="0.7" right="0.7" top="0.75" bottom="0.75" header="0.3" footer="0.3"/>
  <pageSetup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157"/>
  <sheetViews>
    <sheetView topLeftCell="A76" zoomScale="40" zoomScaleNormal="40" workbookViewId="0">
      <selection activeCell="A77" sqref="A77"/>
    </sheetView>
  </sheetViews>
  <sheetFormatPr baseColWidth="10" defaultColWidth="11" defaultRowHeight="12.75" x14ac:dyDescent="0.25"/>
  <cols>
    <col min="1" max="1" width="46.42578125" style="312" customWidth="1"/>
    <col min="2" max="2" width="11" style="312"/>
    <col min="3" max="3" width="20.85546875" style="312" customWidth="1"/>
    <col min="4" max="4" width="19.5703125" style="312" customWidth="1"/>
    <col min="5" max="5" width="15.7109375" style="312" customWidth="1"/>
    <col min="6" max="6" width="14.85546875" style="312" customWidth="1"/>
    <col min="7" max="7" width="16.140625" style="312" customWidth="1"/>
    <col min="8" max="8" width="15.5703125" style="312" customWidth="1"/>
    <col min="9" max="9" width="19.7109375" style="312" customWidth="1"/>
    <col min="10" max="10" width="11.42578125" style="312" customWidth="1"/>
    <col min="11" max="11" width="26.85546875" style="312" customWidth="1"/>
    <col min="12" max="12" width="14.42578125" style="312" customWidth="1"/>
    <col min="13" max="13" width="12" style="313" customWidth="1"/>
    <col min="14" max="14" width="17.140625" style="312" customWidth="1"/>
    <col min="15" max="15" width="18.85546875" style="314" customWidth="1"/>
    <col min="16" max="16" width="26.5703125" style="312" customWidth="1"/>
    <col min="17" max="17" width="12.140625" style="312" customWidth="1"/>
    <col min="18" max="18" width="10.5703125" style="312" customWidth="1"/>
    <col min="19" max="19" width="11.42578125" style="312" customWidth="1"/>
    <col min="20" max="16384" width="11" style="312"/>
  </cols>
  <sheetData>
    <row r="1" spans="1:19" x14ac:dyDescent="0.25">
      <c r="A1" s="292" t="s">
        <v>422</v>
      </c>
      <c r="B1" s="309">
        <v>3.3</v>
      </c>
      <c r="C1" s="292" t="s">
        <v>9</v>
      </c>
      <c r="D1" s="310">
        <f>30%</f>
        <v>0.3</v>
      </c>
      <c r="E1" s="311"/>
    </row>
    <row r="2" spans="1:19" x14ac:dyDescent="0.25">
      <c r="E2" s="315"/>
    </row>
    <row r="3" spans="1:19" ht="15" customHeight="1" x14ac:dyDescent="0.25">
      <c r="A3" s="718" t="s">
        <v>498</v>
      </c>
      <c r="B3" s="719"/>
      <c r="C3" s="719"/>
      <c r="D3" s="720"/>
      <c r="E3" s="316"/>
      <c r="F3" s="718" t="s">
        <v>499</v>
      </c>
      <c r="G3" s="719"/>
      <c r="H3" s="720"/>
      <c r="J3" s="718" t="s">
        <v>513</v>
      </c>
      <c r="K3" s="719"/>
      <c r="L3" s="719"/>
      <c r="M3" s="720"/>
      <c r="O3" s="718" t="s">
        <v>525</v>
      </c>
      <c r="P3" s="719"/>
      <c r="Q3" s="719"/>
      <c r="R3" s="719"/>
      <c r="S3" s="720"/>
    </row>
    <row r="4" spans="1:19" x14ac:dyDescent="0.25">
      <c r="A4" s="292" t="s">
        <v>178</v>
      </c>
      <c r="B4" s="292" t="s">
        <v>306</v>
      </c>
      <c r="C4" s="317" t="s">
        <v>496</v>
      </c>
      <c r="D4" s="292" t="s">
        <v>497</v>
      </c>
      <c r="E4" s="316"/>
      <c r="F4" s="292" t="s">
        <v>332</v>
      </c>
      <c r="G4" s="292" t="s">
        <v>469</v>
      </c>
      <c r="H4" s="292" t="s">
        <v>179</v>
      </c>
      <c r="J4" s="292" t="s">
        <v>180</v>
      </c>
      <c r="K4" s="292" t="s">
        <v>469</v>
      </c>
      <c r="L4" s="292" t="s">
        <v>496</v>
      </c>
      <c r="M4" s="292" t="s">
        <v>179</v>
      </c>
      <c r="O4" s="318" t="s">
        <v>522</v>
      </c>
      <c r="P4" s="729" t="s">
        <v>333</v>
      </c>
      <c r="Q4" s="319" t="s">
        <v>334</v>
      </c>
      <c r="R4" s="729" t="s">
        <v>335</v>
      </c>
      <c r="S4" s="721" t="s">
        <v>336</v>
      </c>
    </row>
    <row r="5" spans="1:19" ht="15" customHeight="1" x14ac:dyDescent="0.25">
      <c r="A5" s="292" t="s">
        <v>466</v>
      </c>
      <c r="B5" s="292"/>
      <c r="C5" s="317"/>
      <c r="D5" s="292"/>
      <c r="E5" s="316"/>
      <c r="F5" s="292"/>
      <c r="G5" s="292"/>
      <c r="H5" s="292"/>
      <c r="J5" s="292"/>
      <c r="K5" s="292"/>
      <c r="L5" s="292"/>
      <c r="M5" s="292"/>
      <c r="O5" s="320"/>
      <c r="P5" s="730"/>
      <c r="Q5" s="321"/>
      <c r="R5" s="730"/>
      <c r="S5" s="722"/>
    </row>
    <row r="6" spans="1:19" x14ac:dyDescent="0.25">
      <c r="A6" s="28" t="s">
        <v>337</v>
      </c>
      <c r="B6" s="19">
        <v>4</v>
      </c>
      <c r="C6" s="33">
        <f>(1199*$B$1)</f>
        <v>3956.7</v>
      </c>
      <c r="D6" s="20">
        <f t="shared" ref="D6:D17" si="0">C6*B6</f>
        <v>15826.8</v>
      </c>
      <c r="E6" s="24"/>
      <c r="F6" s="18">
        <v>10</v>
      </c>
      <c r="G6" s="18" t="s">
        <v>338</v>
      </c>
      <c r="H6" s="20">
        <f t="shared" ref="H6:H17" si="1">IFERROR(D6/F6,0)</f>
        <v>1582.6799999999998</v>
      </c>
      <c r="J6" s="18">
        <v>12</v>
      </c>
      <c r="K6" s="18" t="s">
        <v>339</v>
      </c>
      <c r="L6" s="20">
        <f>C6*4%</f>
        <v>158.268</v>
      </c>
      <c r="M6" s="20">
        <f t="shared" ref="M6:M17" si="2">IFERROR(L6*12/J6*B6,0)</f>
        <v>633.072</v>
      </c>
      <c r="O6" s="18">
        <v>5</v>
      </c>
      <c r="P6" s="322">
        <f>IF(D6*(1-O6/F6)&gt;0,D6*(1-O6/F6),0)</f>
        <v>7913.4</v>
      </c>
      <c r="Q6" s="323">
        <v>0.5</v>
      </c>
      <c r="R6" s="20">
        <f t="shared" ref="R6:R17" si="3">D6*Q6</f>
        <v>7913.4</v>
      </c>
      <c r="S6" s="324">
        <f t="shared" ref="S6:S17" si="4">(R6-P6)*(1-$D$1)</f>
        <v>0</v>
      </c>
    </row>
    <row r="7" spans="1:19" x14ac:dyDescent="0.25">
      <c r="A7" s="28" t="s">
        <v>340</v>
      </c>
      <c r="B7" s="19">
        <v>4</v>
      </c>
      <c r="C7" s="33">
        <f>(2115*$B$1)</f>
        <v>6979.5</v>
      </c>
      <c r="D7" s="20">
        <f t="shared" si="0"/>
        <v>27918</v>
      </c>
      <c r="E7" s="24"/>
      <c r="F7" s="18">
        <v>10</v>
      </c>
      <c r="G7" s="18" t="s">
        <v>338</v>
      </c>
      <c r="H7" s="20">
        <f t="shared" si="1"/>
        <v>2791.8</v>
      </c>
      <c r="J7" s="18">
        <v>12</v>
      </c>
      <c r="K7" s="18" t="s">
        <v>339</v>
      </c>
      <c r="L7" s="20">
        <f t="shared" ref="L7:L17" si="5">C7*4%</f>
        <v>279.18</v>
      </c>
      <c r="M7" s="20">
        <f t="shared" si="2"/>
        <v>1116.72</v>
      </c>
      <c r="O7" s="18">
        <v>5</v>
      </c>
      <c r="P7" s="322">
        <f>IF(D7*(1-O7/F7)&gt;0,D7*(1-O7/F7),0)</f>
        <v>13959</v>
      </c>
      <c r="Q7" s="323">
        <v>0.5</v>
      </c>
      <c r="R7" s="20">
        <f t="shared" si="3"/>
        <v>13959</v>
      </c>
      <c r="S7" s="324">
        <f t="shared" si="4"/>
        <v>0</v>
      </c>
    </row>
    <row r="8" spans="1:19" x14ac:dyDescent="0.25">
      <c r="A8" s="28" t="s">
        <v>341</v>
      </c>
      <c r="B8" s="19">
        <v>4</v>
      </c>
      <c r="C8" s="33">
        <f>(1595*$B$1)</f>
        <v>5263.5</v>
      </c>
      <c r="D8" s="20">
        <f t="shared" si="0"/>
        <v>21054</v>
      </c>
      <c r="E8" s="24"/>
      <c r="F8" s="18">
        <v>10</v>
      </c>
      <c r="G8" s="18" t="s">
        <v>338</v>
      </c>
      <c r="H8" s="20">
        <f t="shared" si="1"/>
        <v>2105.4</v>
      </c>
      <c r="J8" s="18">
        <v>12</v>
      </c>
      <c r="K8" s="18" t="s">
        <v>339</v>
      </c>
      <c r="L8" s="20">
        <f t="shared" si="5"/>
        <v>210.54</v>
      </c>
      <c r="M8" s="20">
        <f t="shared" si="2"/>
        <v>842.16</v>
      </c>
      <c r="O8" s="18">
        <v>5</v>
      </c>
      <c r="P8" s="322">
        <f t="shared" ref="P8:P17" si="6">IF(D8*(1-O8/F8)&gt;0,D8*(1-O8/F8),0)</f>
        <v>10527</v>
      </c>
      <c r="Q8" s="323">
        <v>0.5</v>
      </c>
      <c r="R8" s="20">
        <f t="shared" si="3"/>
        <v>10527</v>
      </c>
      <c r="S8" s="324">
        <f t="shared" si="4"/>
        <v>0</v>
      </c>
    </row>
    <row r="9" spans="1:19" x14ac:dyDescent="0.25">
      <c r="A9" s="28" t="s">
        <v>342</v>
      </c>
      <c r="B9" s="19">
        <v>1</v>
      </c>
      <c r="C9" s="33">
        <f>(1295*$B$1)</f>
        <v>4273.5</v>
      </c>
      <c r="D9" s="20">
        <f t="shared" si="0"/>
        <v>4273.5</v>
      </c>
      <c r="E9" s="24"/>
      <c r="F9" s="18">
        <v>10</v>
      </c>
      <c r="G9" s="18" t="s">
        <v>338</v>
      </c>
      <c r="H9" s="20">
        <f t="shared" si="1"/>
        <v>427.35</v>
      </c>
      <c r="J9" s="18">
        <v>12</v>
      </c>
      <c r="K9" s="18" t="s">
        <v>339</v>
      </c>
      <c r="L9" s="20">
        <f t="shared" si="5"/>
        <v>170.94</v>
      </c>
      <c r="M9" s="20">
        <f t="shared" si="2"/>
        <v>170.93999999999997</v>
      </c>
      <c r="O9" s="18">
        <v>5</v>
      </c>
      <c r="P9" s="322">
        <f t="shared" si="6"/>
        <v>2136.75</v>
      </c>
      <c r="Q9" s="323">
        <v>0.5</v>
      </c>
      <c r="R9" s="20">
        <f t="shared" si="3"/>
        <v>2136.75</v>
      </c>
      <c r="S9" s="324">
        <f t="shared" si="4"/>
        <v>0</v>
      </c>
    </row>
    <row r="10" spans="1:19" x14ac:dyDescent="0.25">
      <c r="A10" s="28" t="s">
        <v>468</v>
      </c>
      <c r="B10" s="19">
        <v>1</v>
      </c>
      <c r="C10" s="33">
        <f>(1295*$B$1)</f>
        <v>4273.5</v>
      </c>
      <c r="D10" s="20">
        <f t="shared" si="0"/>
        <v>4273.5</v>
      </c>
      <c r="E10" s="24"/>
      <c r="F10" s="18">
        <v>10</v>
      </c>
      <c r="G10" s="18" t="s">
        <v>338</v>
      </c>
      <c r="H10" s="20">
        <f t="shared" si="1"/>
        <v>427.35</v>
      </c>
      <c r="J10" s="18">
        <v>12</v>
      </c>
      <c r="K10" s="18" t="s">
        <v>339</v>
      </c>
      <c r="L10" s="20">
        <f t="shared" si="5"/>
        <v>170.94</v>
      </c>
      <c r="M10" s="20">
        <f t="shared" si="2"/>
        <v>170.93999999999997</v>
      </c>
      <c r="O10" s="18">
        <v>5</v>
      </c>
      <c r="P10" s="322">
        <f t="shared" si="6"/>
        <v>2136.75</v>
      </c>
      <c r="Q10" s="323">
        <v>0.5</v>
      </c>
      <c r="R10" s="20">
        <f t="shared" si="3"/>
        <v>2136.75</v>
      </c>
      <c r="S10" s="324">
        <f t="shared" si="4"/>
        <v>0</v>
      </c>
    </row>
    <row r="11" spans="1:19" x14ac:dyDescent="0.25">
      <c r="A11" s="28" t="s">
        <v>343</v>
      </c>
      <c r="B11" s="19">
        <v>1</v>
      </c>
      <c r="C11" s="33">
        <f>(1095*B1)</f>
        <v>3613.5</v>
      </c>
      <c r="D11" s="20">
        <f t="shared" si="0"/>
        <v>3613.5</v>
      </c>
      <c r="E11" s="24"/>
      <c r="F11" s="18">
        <v>10</v>
      </c>
      <c r="G11" s="18" t="s">
        <v>338</v>
      </c>
      <c r="H11" s="20">
        <f t="shared" si="1"/>
        <v>361.35</v>
      </c>
      <c r="J11" s="18">
        <v>12</v>
      </c>
      <c r="K11" s="18" t="s">
        <v>339</v>
      </c>
      <c r="L11" s="20">
        <f t="shared" si="5"/>
        <v>144.54</v>
      </c>
      <c r="M11" s="20">
        <f t="shared" si="2"/>
        <v>144.54</v>
      </c>
      <c r="O11" s="18">
        <v>5</v>
      </c>
      <c r="P11" s="322">
        <f t="shared" si="6"/>
        <v>1806.75</v>
      </c>
      <c r="Q11" s="323">
        <v>0.5</v>
      </c>
      <c r="R11" s="20">
        <f t="shared" si="3"/>
        <v>1806.75</v>
      </c>
      <c r="S11" s="324">
        <f t="shared" si="4"/>
        <v>0</v>
      </c>
    </row>
    <row r="12" spans="1:19" x14ac:dyDescent="0.25">
      <c r="A12" s="28" t="s">
        <v>344</v>
      </c>
      <c r="B12" s="19">
        <v>1</v>
      </c>
      <c r="C12" s="33">
        <f>(1295*B1)</f>
        <v>4273.5</v>
      </c>
      <c r="D12" s="20">
        <f t="shared" si="0"/>
        <v>4273.5</v>
      </c>
      <c r="E12" s="24"/>
      <c r="F12" s="18">
        <v>10</v>
      </c>
      <c r="G12" s="18" t="s">
        <v>338</v>
      </c>
      <c r="H12" s="20">
        <f t="shared" si="1"/>
        <v>427.35</v>
      </c>
      <c r="J12" s="18">
        <v>12</v>
      </c>
      <c r="K12" s="18" t="s">
        <v>339</v>
      </c>
      <c r="L12" s="20">
        <f t="shared" si="5"/>
        <v>170.94</v>
      </c>
      <c r="M12" s="20">
        <f t="shared" si="2"/>
        <v>170.93999999999997</v>
      </c>
      <c r="O12" s="18">
        <v>5</v>
      </c>
      <c r="P12" s="322">
        <f t="shared" si="6"/>
        <v>2136.75</v>
      </c>
      <c r="Q12" s="323">
        <v>0.5</v>
      </c>
      <c r="R12" s="20">
        <f t="shared" si="3"/>
        <v>2136.75</v>
      </c>
      <c r="S12" s="324">
        <f t="shared" si="4"/>
        <v>0</v>
      </c>
    </row>
    <row r="13" spans="1:19" x14ac:dyDescent="0.25">
      <c r="A13" s="28" t="s">
        <v>345</v>
      </c>
      <c r="B13" s="19">
        <v>2</v>
      </c>
      <c r="C13" s="33">
        <f>(1299*B1)</f>
        <v>4286.7</v>
      </c>
      <c r="D13" s="20">
        <f t="shared" si="0"/>
        <v>8573.4</v>
      </c>
      <c r="E13" s="24"/>
      <c r="F13" s="18">
        <v>10</v>
      </c>
      <c r="G13" s="18" t="s">
        <v>338</v>
      </c>
      <c r="H13" s="20">
        <f t="shared" si="1"/>
        <v>857.33999999999992</v>
      </c>
      <c r="J13" s="18">
        <v>12</v>
      </c>
      <c r="K13" s="18" t="s">
        <v>339</v>
      </c>
      <c r="L13" s="20">
        <f t="shared" si="5"/>
        <v>171.46799999999999</v>
      </c>
      <c r="M13" s="20">
        <f t="shared" si="2"/>
        <v>342.93599999999998</v>
      </c>
      <c r="O13" s="18">
        <v>5</v>
      </c>
      <c r="P13" s="322">
        <f t="shared" si="6"/>
        <v>4286.7</v>
      </c>
      <c r="Q13" s="323">
        <v>0.5</v>
      </c>
      <c r="R13" s="20">
        <f t="shared" si="3"/>
        <v>4286.7</v>
      </c>
      <c r="S13" s="324">
        <f t="shared" si="4"/>
        <v>0</v>
      </c>
    </row>
    <row r="14" spans="1:19" x14ac:dyDescent="0.25">
      <c r="A14" s="28" t="s">
        <v>346</v>
      </c>
      <c r="B14" s="19">
        <v>2</v>
      </c>
      <c r="C14" s="33">
        <f>(1295*B1)</f>
        <v>4273.5</v>
      </c>
      <c r="D14" s="20">
        <f t="shared" si="0"/>
        <v>8547</v>
      </c>
      <c r="E14" s="24"/>
      <c r="F14" s="18">
        <v>10</v>
      </c>
      <c r="G14" s="18" t="s">
        <v>338</v>
      </c>
      <c r="H14" s="20">
        <f t="shared" si="1"/>
        <v>854.7</v>
      </c>
      <c r="J14" s="18">
        <v>12</v>
      </c>
      <c r="K14" s="18" t="s">
        <v>339</v>
      </c>
      <c r="L14" s="20">
        <f t="shared" si="5"/>
        <v>170.94</v>
      </c>
      <c r="M14" s="20">
        <f t="shared" si="2"/>
        <v>341.87999999999994</v>
      </c>
      <c r="O14" s="18">
        <v>5</v>
      </c>
      <c r="P14" s="322">
        <f t="shared" si="6"/>
        <v>4273.5</v>
      </c>
      <c r="Q14" s="323">
        <v>0.5</v>
      </c>
      <c r="R14" s="20">
        <f t="shared" si="3"/>
        <v>4273.5</v>
      </c>
      <c r="S14" s="324">
        <f t="shared" si="4"/>
        <v>0</v>
      </c>
    </row>
    <row r="15" spans="1:19" x14ac:dyDescent="0.25">
      <c r="A15" s="28" t="s">
        <v>347</v>
      </c>
      <c r="B15" s="19">
        <v>1</v>
      </c>
      <c r="C15" s="33">
        <f>(1295*B1)</f>
        <v>4273.5</v>
      </c>
      <c r="D15" s="20">
        <f t="shared" si="0"/>
        <v>4273.5</v>
      </c>
      <c r="E15" s="24"/>
      <c r="F15" s="18">
        <v>10</v>
      </c>
      <c r="G15" s="18" t="s">
        <v>338</v>
      </c>
      <c r="H15" s="20">
        <f t="shared" si="1"/>
        <v>427.35</v>
      </c>
      <c r="J15" s="18">
        <v>12</v>
      </c>
      <c r="K15" s="18" t="s">
        <v>339</v>
      </c>
      <c r="L15" s="20">
        <f t="shared" si="5"/>
        <v>170.94</v>
      </c>
      <c r="M15" s="20">
        <f t="shared" si="2"/>
        <v>170.93999999999997</v>
      </c>
      <c r="O15" s="18">
        <v>5</v>
      </c>
      <c r="P15" s="322">
        <f t="shared" si="6"/>
        <v>2136.75</v>
      </c>
      <c r="Q15" s="323">
        <v>0.5</v>
      </c>
      <c r="R15" s="20">
        <f t="shared" si="3"/>
        <v>2136.75</v>
      </c>
      <c r="S15" s="324">
        <f t="shared" si="4"/>
        <v>0</v>
      </c>
    </row>
    <row r="16" spans="1:19" x14ac:dyDescent="0.25">
      <c r="A16" s="28" t="s">
        <v>348</v>
      </c>
      <c r="B16" s="19">
        <v>1</v>
      </c>
      <c r="C16" s="33">
        <f>(1065*B1)</f>
        <v>3514.5</v>
      </c>
      <c r="D16" s="20">
        <f t="shared" si="0"/>
        <v>3514.5</v>
      </c>
      <c r="E16" s="24"/>
      <c r="F16" s="18">
        <v>10</v>
      </c>
      <c r="G16" s="18" t="s">
        <v>338</v>
      </c>
      <c r="H16" s="20">
        <f t="shared" si="1"/>
        <v>351.45</v>
      </c>
      <c r="J16" s="18">
        <v>12</v>
      </c>
      <c r="K16" s="18" t="s">
        <v>339</v>
      </c>
      <c r="L16" s="20">
        <f t="shared" si="5"/>
        <v>140.58000000000001</v>
      </c>
      <c r="M16" s="20">
        <f t="shared" si="2"/>
        <v>140.58000000000001</v>
      </c>
      <c r="O16" s="18">
        <v>5</v>
      </c>
      <c r="P16" s="322">
        <f t="shared" si="6"/>
        <v>1757.25</v>
      </c>
      <c r="Q16" s="323">
        <v>0.5</v>
      </c>
      <c r="R16" s="20">
        <f t="shared" si="3"/>
        <v>1757.25</v>
      </c>
      <c r="S16" s="324">
        <f t="shared" si="4"/>
        <v>0</v>
      </c>
    </row>
    <row r="17" spans="1:19" ht="25.5" customHeight="1" x14ac:dyDescent="0.25">
      <c r="A17" s="28" t="s">
        <v>467</v>
      </c>
      <c r="B17" s="19">
        <v>2</v>
      </c>
      <c r="C17" s="33">
        <f>(1275*B1)</f>
        <v>4207.5</v>
      </c>
      <c r="D17" s="20">
        <f t="shared" si="0"/>
        <v>8415</v>
      </c>
      <c r="E17" s="24"/>
      <c r="F17" s="18">
        <v>10</v>
      </c>
      <c r="G17" s="18" t="s">
        <v>338</v>
      </c>
      <c r="H17" s="20">
        <f t="shared" si="1"/>
        <v>841.5</v>
      </c>
      <c r="J17" s="18">
        <v>12</v>
      </c>
      <c r="K17" s="18" t="s">
        <v>339</v>
      </c>
      <c r="L17" s="20">
        <f t="shared" si="5"/>
        <v>168.3</v>
      </c>
      <c r="M17" s="20">
        <f t="shared" si="2"/>
        <v>336.6</v>
      </c>
      <c r="O17" s="18">
        <v>5</v>
      </c>
      <c r="P17" s="322">
        <f t="shared" si="6"/>
        <v>4207.5</v>
      </c>
      <c r="Q17" s="323">
        <v>0.5</v>
      </c>
      <c r="R17" s="20">
        <f t="shared" si="3"/>
        <v>4207.5</v>
      </c>
      <c r="S17" s="324">
        <f t="shared" si="4"/>
        <v>0</v>
      </c>
    </row>
    <row r="18" spans="1:19" x14ac:dyDescent="0.25">
      <c r="A18" s="325" t="s">
        <v>114</v>
      </c>
      <c r="B18" s="326">
        <f>SUM(B6:B17)</f>
        <v>24</v>
      </c>
      <c r="C18" s="327"/>
      <c r="D18" s="328">
        <f>SUM(D6:D17)</f>
        <v>114556.2</v>
      </c>
      <c r="E18" s="329"/>
      <c r="F18" s="330"/>
      <c r="G18" s="331"/>
      <c r="H18" s="332">
        <f>SUM(H6:H17)</f>
        <v>11455.620000000003</v>
      </c>
      <c r="J18" s="325"/>
      <c r="K18" s="327"/>
      <c r="L18" s="332"/>
      <c r="M18" s="328">
        <f>SUM(M6:M17)</f>
        <v>4582.2480000000005</v>
      </c>
      <c r="O18" s="333"/>
      <c r="P18" s="334"/>
      <c r="Q18" s="334"/>
      <c r="R18" s="328">
        <f>SUM(R6:R17)</f>
        <v>57278.1</v>
      </c>
      <c r="S18" s="334"/>
    </row>
    <row r="19" spans="1:19" x14ac:dyDescent="0.25">
      <c r="A19" s="335" t="s">
        <v>349</v>
      </c>
      <c r="B19" s="335"/>
      <c r="C19" s="336"/>
      <c r="D19" s="335"/>
      <c r="E19" s="337"/>
      <c r="F19" s="335"/>
      <c r="G19" s="335"/>
      <c r="H19" s="335"/>
      <c r="J19" s="335"/>
      <c r="K19" s="335"/>
      <c r="L19" s="335"/>
      <c r="M19" s="292"/>
      <c r="O19" s="338"/>
      <c r="P19" s="339"/>
      <c r="Q19" s="339"/>
      <c r="R19" s="339"/>
      <c r="S19" s="339"/>
    </row>
    <row r="20" spans="1:19" x14ac:dyDescent="0.25">
      <c r="A20" s="30" t="s">
        <v>350</v>
      </c>
      <c r="B20" s="32">
        <v>12</v>
      </c>
      <c r="C20" s="27">
        <v>129.80000000000001</v>
      </c>
      <c r="D20" s="20">
        <f t="shared" ref="D20:D27" si="7">C20*B20</f>
        <v>1557.6000000000001</v>
      </c>
      <c r="E20" s="24"/>
      <c r="F20" s="18">
        <v>10</v>
      </c>
      <c r="G20" s="18" t="s">
        <v>338</v>
      </c>
      <c r="H20" s="20">
        <f t="shared" ref="H20:H27" si="8">IFERROR(D20/F20,0)</f>
        <v>155.76000000000002</v>
      </c>
      <c r="J20" s="340"/>
      <c r="K20" s="340"/>
      <c r="L20" s="340"/>
      <c r="M20" s="34"/>
      <c r="O20" s="34"/>
      <c r="P20" s="34"/>
      <c r="Q20" s="34"/>
      <c r="R20" s="34"/>
      <c r="S20" s="34"/>
    </row>
    <row r="21" spans="1:19" x14ac:dyDescent="0.25">
      <c r="A21" s="30" t="s">
        <v>351</v>
      </c>
      <c r="B21" s="32">
        <v>12</v>
      </c>
      <c r="C21" s="27">
        <v>45</v>
      </c>
      <c r="D21" s="20">
        <f t="shared" si="7"/>
        <v>540</v>
      </c>
      <c r="E21" s="24"/>
      <c r="F21" s="18">
        <v>10</v>
      </c>
      <c r="G21" s="18" t="s">
        <v>338</v>
      </c>
      <c r="H21" s="20">
        <f t="shared" si="8"/>
        <v>54</v>
      </c>
      <c r="J21" s="340"/>
      <c r="K21" s="340"/>
      <c r="L21" s="340"/>
      <c r="M21" s="34"/>
      <c r="O21" s="34"/>
      <c r="P21" s="34"/>
      <c r="Q21" s="34"/>
      <c r="R21" s="34"/>
      <c r="S21" s="34"/>
    </row>
    <row r="22" spans="1:19" x14ac:dyDescent="0.25">
      <c r="A22" s="30" t="s">
        <v>352</v>
      </c>
      <c r="B22" s="32">
        <v>12</v>
      </c>
      <c r="C22" s="27">
        <v>30</v>
      </c>
      <c r="D22" s="20">
        <f t="shared" si="7"/>
        <v>360</v>
      </c>
      <c r="E22" s="24"/>
      <c r="F22" s="18">
        <v>10</v>
      </c>
      <c r="G22" s="18" t="s">
        <v>338</v>
      </c>
      <c r="H22" s="20">
        <f t="shared" si="8"/>
        <v>36</v>
      </c>
      <c r="J22" s="340"/>
      <c r="K22" s="340"/>
      <c r="L22" s="340"/>
      <c r="M22" s="34"/>
      <c r="O22" s="34"/>
      <c r="P22" s="34"/>
      <c r="Q22" s="34"/>
      <c r="R22" s="34"/>
      <c r="S22" s="34"/>
    </row>
    <row r="23" spans="1:19" x14ac:dyDescent="0.25">
      <c r="A23" s="30" t="s">
        <v>353</v>
      </c>
      <c r="B23" s="32">
        <v>12</v>
      </c>
      <c r="C23" s="27">
        <v>85</v>
      </c>
      <c r="D23" s="20">
        <f t="shared" si="7"/>
        <v>1020</v>
      </c>
      <c r="E23" s="24"/>
      <c r="F23" s="18">
        <v>10</v>
      </c>
      <c r="G23" s="18" t="s">
        <v>338</v>
      </c>
      <c r="H23" s="20">
        <f t="shared" si="8"/>
        <v>102</v>
      </c>
      <c r="I23" s="341"/>
      <c r="J23" s="340"/>
      <c r="K23" s="340"/>
      <c r="L23" s="340"/>
      <c r="M23" s="34"/>
      <c r="O23" s="34"/>
      <c r="P23" s="34"/>
      <c r="Q23" s="34"/>
      <c r="R23" s="34"/>
      <c r="S23" s="34"/>
    </row>
    <row r="24" spans="1:19" x14ac:dyDescent="0.25">
      <c r="A24" s="30" t="s">
        <v>354</v>
      </c>
      <c r="B24" s="32">
        <v>24</v>
      </c>
      <c r="C24" s="27">
        <v>80</v>
      </c>
      <c r="D24" s="20">
        <f t="shared" si="7"/>
        <v>1920</v>
      </c>
      <c r="E24" s="24"/>
      <c r="F24" s="18">
        <v>10</v>
      </c>
      <c r="G24" s="18" t="s">
        <v>338</v>
      </c>
      <c r="H24" s="20">
        <f t="shared" si="8"/>
        <v>192</v>
      </c>
      <c r="J24" s="340"/>
      <c r="K24" s="340"/>
      <c r="L24" s="340"/>
      <c r="M24" s="34"/>
      <c r="O24" s="34"/>
      <c r="P24" s="34"/>
      <c r="Q24" s="34"/>
      <c r="R24" s="34"/>
      <c r="S24" s="34"/>
    </row>
    <row r="25" spans="1:19" x14ac:dyDescent="0.25">
      <c r="A25" s="30" t="s">
        <v>355</v>
      </c>
      <c r="B25" s="32">
        <v>24</v>
      </c>
      <c r="C25" s="27">
        <v>90</v>
      </c>
      <c r="D25" s="20">
        <f t="shared" si="7"/>
        <v>2160</v>
      </c>
      <c r="E25" s="24"/>
      <c r="F25" s="18">
        <v>10</v>
      </c>
      <c r="G25" s="18" t="s">
        <v>338</v>
      </c>
      <c r="H25" s="20">
        <f t="shared" si="8"/>
        <v>216</v>
      </c>
      <c r="J25" s="340"/>
      <c r="K25" s="340"/>
      <c r="L25" s="340"/>
      <c r="M25" s="34"/>
      <c r="O25" s="34"/>
      <c r="P25" s="34"/>
      <c r="Q25" s="34"/>
      <c r="R25" s="34"/>
      <c r="S25" s="34"/>
    </row>
    <row r="26" spans="1:19" x14ac:dyDescent="0.25">
      <c r="A26" s="30" t="s">
        <v>356</v>
      </c>
      <c r="B26" s="32">
        <v>12</v>
      </c>
      <c r="C26" s="27">
        <v>80</v>
      </c>
      <c r="D26" s="20">
        <f t="shared" si="7"/>
        <v>960</v>
      </c>
      <c r="E26" s="24"/>
      <c r="F26" s="18">
        <v>10</v>
      </c>
      <c r="G26" s="18" t="s">
        <v>338</v>
      </c>
      <c r="H26" s="20">
        <f t="shared" si="8"/>
        <v>96</v>
      </c>
      <c r="J26" s="340"/>
      <c r="K26" s="340"/>
      <c r="L26" s="340"/>
      <c r="M26" s="34"/>
      <c r="O26" s="34"/>
      <c r="P26" s="34"/>
      <c r="Q26" s="34"/>
      <c r="R26" s="34"/>
      <c r="S26" s="34"/>
    </row>
    <row r="27" spans="1:19" x14ac:dyDescent="0.25">
      <c r="A27" s="30" t="s">
        <v>357</v>
      </c>
      <c r="B27" s="32">
        <v>12</v>
      </c>
      <c r="C27" s="27">
        <v>150</v>
      </c>
      <c r="D27" s="20">
        <f t="shared" si="7"/>
        <v>1800</v>
      </c>
      <c r="E27" s="24"/>
      <c r="F27" s="18">
        <v>10</v>
      </c>
      <c r="G27" s="18" t="s">
        <v>338</v>
      </c>
      <c r="H27" s="20">
        <f t="shared" si="8"/>
        <v>180</v>
      </c>
      <c r="J27" s="340"/>
      <c r="K27" s="340"/>
      <c r="L27" s="340"/>
      <c r="M27" s="34"/>
      <c r="O27" s="34"/>
      <c r="P27" s="34"/>
      <c r="Q27" s="34"/>
      <c r="R27" s="34"/>
      <c r="S27" s="34"/>
    </row>
    <row r="28" spans="1:19" x14ac:dyDescent="0.25">
      <c r="A28" s="342" t="s">
        <v>114</v>
      </c>
      <c r="B28" s="343"/>
      <c r="C28" s="343"/>
      <c r="D28" s="328">
        <f>SUM(D20:D27)</f>
        <v>10317.6</v>
      </c>
      <c r="E28" s="329"/>
      <c r="F28" s="330"/>
      <c r="G28" s="331"/>
      <c r="H28" s="332">
        <f>SUM(H20:H27)</f>
        <v>1031.76</v>
      </c>
      <c r="J28" s="342"/>
      <c r="K28" s="343"/>
      <c r="L28" s="344"/>
      <c r="M28" s="345"/>
      <c r="O28" s="333"/>
      <c r="P28" s="334"/>
      <c r="Q28" s="334"/>
      <c r="R28" s="334"/>
      <c r="S28" s="334"/>
    </row>
    <row r="29" spans="1:19" x14ac:dyDescent="0.25">
      <c r="A29" s="321" t="s">
        <v>358</v>
      </c>
      <c r="B29" s="321"/>
      <c r="C29" s="346"/>
      <c r="D29" s="321"/>
      <c r="E29" s="337"/>
      <c r="F29" s="321"/>
      <c r="G29" s="321"/>
      <c r="H29" s="321"/>
      <c r="J29" s="335"/>
      <c r="K29" s="335"/>
      <c r="L29" s="335"/>
      <c r="M29" s="292"/>
      <c r="O29" s="338"/>
      <c r="P29" s="339"/>
      <c r="Q29" s="339"/>
      <c r="R29" s="339"/>
      <c r="S29" s="339"/>
    </row>
    <row r="30" spans="1:19" x14ac:dyDescent="0.25">
      <c r="A30" s="31" t="s">
        <v>500</v>
      </c>
      <c r="B30" s="32">
        <v>1</v>
      </c>
      <c r="C30" s="26">
        <v>1334.55</v>
      </c>
      <c r="D30" s="20">
        <f t="shared" ref="D30:D39" si="9">C30*B30</f>
        <v>1334.55</v>
      </c>
      <c r="E30" s="24"/>
      <c r="F30" s="18">
        <v>10</v>
      </c>
      <c r="G30" s="18" t="s">
        <v>338</v>
      </c>
      <c r="H30" s="20">
        <f t="shared" ref="H30:H39" si="10">IFERROR(D30/F30,0)</f>
        <v>133.45499999999998</v>
      </c>
      <c r="J30" s="18">
        <v>12</v>
      </c>
      <c r="K30" s="18" t="s">
        <v>339</v>
      </c>
      <c r="L30" s="19">
        <f>D30*4%</f>
        <v>53.381999999999998</v>
      </c>
      <c r="M30" s="19">
        <f>IFERROR(L30*12/J30*B30,0)</f>
        <v>53.381999999999998</v>
      </c>
      <c r="O30" s="18">
        <v>5</v>
      </c>
      <c r="P30" s="322">
        <f>IF(D30*(1-O30/F30)&gt;0,D30*(1-O30/F30),0)</f>
        <v>667.27499999999998</v>
      </c>
      <c r="Q30" s="323">
        <v>0.5</v>
      </c>
      <c r="R30" s="18">
        <f>Q30*D30</f>
        <v>667.27499999999998</v>
      </c>
      <c r="S30" s="324">
        <f>(R30-P30)*(1-$D$1)</f>
        <v>0</v>
      </c>
    </row>
    <row r="31" spans="1:19" ht="27" customHeight="1" x14ac:dyDescent="0.25">
      <c r="A31" s="31" t="s">
        <v>501</v>
      </c>
      <c r="B31" s="32">
        <v>1</v>
      </c>
      <c r="C31" s="26">
        <v>140.41999999999999</v>
      </c>
      <c r="D31" s="20">
        <f t="shared" si="9"/>
        <v>140.41999999999999</v>
      </c>
      <c r="E31" s="24"/>
      <c r="F31" s="18">
        <v>10</v>
      </c>
      <c r="G31" s="18" t="s">
        <v>338</v>
      </c>
      <c r="H31" s="20">
        <f t="shared" si="10"/>
        <v>14.041999999999998</v>
      </c>
      <c r="J31" s="34"/>
      <c r="K31" s="34"/>
      <c r="L31" s="35"/>
      <c r="M31" s="35"/>
      <c r="O31" s="34"/>
      <c r="P31" s="347"/>
      <c r="Q31" s="34"/>
      <c r="R31" s="34"/>
      <c r="S31" s="34"/>
    </row>
    <row r="32" spans="1:19" x14ac:dyDescent="0.25">
      <c r="A32" s="31" t="s">
        <v>502</v>
      </c>
      <c r="B32" s="32">
        <v>20</v>
      </c>
      <c r="C32" s="26">
        <v>390</v>
      </c>
      <c r="D32" s="20">
        <f t="shared" si="9"/>
        <v>7800</v>
      </c>
      <c r="E32" s="24"/>
      <c r="F32" s="18">
        <v>10</v>
      </c>
      <c r="G32" s="18" t="s">
        <v>338</v>
      </c>
      <c r="H32" s="20">
        <f t="shared" si="10"/>
        <v>780</v>
      </c>
      <c r="J32" s="34"/>
      <c r="K32" s="34"/>
      <c r="L32" s="35"/>
      <c r="M32" s="35"/>
      <c r="O32" s="34"/>
      <c r="P32" s="347"/>
      <c r="Q32" s="34"/>
      <c r="R32" s="34"/>
      <c r="S32" s="34"/>
    </row>
    <row r="33" spans="1:19" ht="27" customHeight="1" x14ac:dyDescent="0.25">
      <c r="A33" s="31" t="s">
        <v>503</v>
      </c>
      <c r="B33" s="32">
        <v>1</v>
      </c>
      <c r="C33" s="26">
        <v>50</v>
      </c>
      <c r="D33" s="20">
        <f t="shared" si="9"/>
        <v>50</v>
      </c>
      <c r="E33" s="24"/>
      <c r="F33" s="18">
        <v>10</v>
      </c>
      <c r="G33" s="18" t="s">
        <v>338</v>
      </c>
      <c r="H33" s="20">
        <f t="shared" si="10"/>
        <v>5</v>
      </c>
      <c r="J33" s="34"/>
      <c r="K33" s="34"/>
      <c r="L33" s="35"/>
      <c r="M33" s="35"/>
      <c r="O33" s="34"/>
      <c r="P33" s="347"/>
      <c r="Q33" s="34"/>
      <c r="R33" s="34"/>
      <c r="S33" s="34"/>
    </row>
    <row r="34" spans="1:19" ht="23.25" customHeight="1" x14ac:dyDescent="0.25">
      <c r="A34" s="31" t="s">
        <v>359</v>
      </c>
      <c r="B34" s="32">
        <v>1</v>
      </c>
      <c r="C34" s="26">
        <v>804.55499999999995</v>
      </c>
      <c r="D34" s="20">
        <f t="shared" si="9"/>
        <v>804.55499999999995</v>
      </c>
      <c r="E34" s="24"/>
      <c r="F34" s="18">
        <v>10</v>
      </c>
      <c r="G34" s="18" t="s">
        <v>338</v>
      </c>
      <c r="H34" s="20">
        <f t="shared" si="10"/>
        <v>80.455500000000001</v>
      </c>
      <c r="J34" s="34"/>
      <c r="K34" s="34"/>
      <c r="L34" s="35"/>
      <c r="M34" s="35"/>
      <c r="O34" s="34"/>
      <c r="P34" s="347"/>
      <c r="Q34" s="34"/>
      <c r="R34" s="34"/>
      <c r="S34" s="34"/>
    </row>
    <row r="35" spans="1:19" ht="26.25" customHeight="1" x14ac:dyDescent="0.25">
      <c r="A35" s="31" t="s">
        <v>360</v>
      </c>
      <c r="B35" s="32">
        <v>1</v>
      </c>
      <c r="C35" s="26">
        <v>1000</v>
      </c>
      <c r="D35" s="20">
        <f t="shared" si="9"/>
        <v>1000</v>
      </c>
      <c r="E35" s="24"/>
      <c r="F35" s="18">
        <v>10</v>
      </c>
      <c r="G35" s="18" t="s">
        <v>338</v>
      </c>
      <c r="H35" s="20">
        <f t="shared" si="10"/>
        <v>100</v>
      </c>
      <c r="J35" s="18">
        <v>12</v>
      </c>
      <c r="K35" s="18" t="s">
        <v>339</v>
      </c>
      <c r="L35" s="19">
        <f>D35*4%</f>
        <v>40</v>
      </c>
      <c r="M35" s="19">
        <f>IFERROR(L35*12/J35*B35,0)</f>
        <v>40</v>
      </c>
      <c r="O35" s="18">
        <v>5</v>
      </c>
      <c r="P35" s="322">
        <f>IF(D35*(1-O35/F35)&gt;0,D35*(1-O35/F35),0)</f>
        <v>500</v>
      </c>
      <c r="Q35" s="323">
        <v>0.5</v>
      </c>
      <c r="R35" s="18">
        <f>Q35*D35</f>
        <v>500</v>
      </c>
      <c r="S35" s="324">
        <f>(R35-P35)*(1-$D$1)</f>
        <v>0</v>
      </c>
    </row>
    <row r="36" spans="1:19" x14ac:dyDescent="0.25">
      <c r="A36" s="31" t="s">
        <v>504</v>
      </c>
      <c r="B36" s="32">
        <v>1</v>
      </c>
      <c r="C36" s="26">
        <v>457.54</v>
      </c>
      <c r="D36" s="20">
        <f t="shared" si="9"/>
        <v>457.54</v>
      </c>
      <c r="E36" s="24"/>
      <c r="F36" s="18">
        <v>10</v>
      </c>
      <c r="G36" s="18" t="s">
        <v>338</v>
      </c>
      <c r="H36" s="20">
        <f t="shared" si="10"/>
        <v>45.754000000000005</v>
      </c>
      <c r="J36" s="18">
        <v>12</v>
      </c>
      <c r="K36" s="18" t="s">
        <v>339</v>
      </c>
      <c r="L36" s="19">
        <f>D36*4%</f>
        <v>18.301600000000001</v>
      </c>
      <c r="M36" s="19">
        <f>IFERROR(L36*12/J36*B36,0)</f>
        <v>18.301600000000001</v>
      </c>
      <c r="O36" s="18">
        <v>5</v>
      </c>
      <c r="P36" s="322">
        <f>IF(D36*(1-O36/F36)&gt;0,D36*(1-O36/F36),0)</f>
        <v>228.77</v>
      </c>
      <c r="Q36" s="323">
        <v>0.5</v>
      </c>
      <c r="R36" s="18">
        <f>Q36*D36</f>
        <v>228.77</v>
      </c>
      <c r="S36" s="324">
        <f>(R36-P36)*(1-$D$1)</f>
        <v>0</v>
      </c>
    </row>
    <row r="37" spans="1:19" x14ac:dyDescent="0.25">
      <c r="A37" s="31" t="s">
        <v>507</v>
      </c>
      <c r="B37" s="32">
        <v>1</v>
      </c>
      <c r="C37" s="26">
        <v>250</v>
      </c>
      <c r="D37" s="20">
        <f t="shared" si="9"/>
        <v>250</v>
      </c>
      <c r="E37" s="24"/>
      <c r="F37" s="18">
        <v>10</v>
      </c>
      <c r="G37" s="18" t="s">
        <v>338</v>
      </c>
      <c r="H37" s="20">
        <f t="shared" si="10"/>
        <v>25</v>
      </c>
      <c r="J37" s="34"/>
      <c r="K37" s="34"/>
      <c r="L37" s="34"/>
      <c r="M37" s="34"/>
      <c r="O37" s="34"/>
      <c r="P37" s="347"/>
      <c r="Q37" s="34"/>
      <c r="R37" s="34"/>
      <c r="S37" s="34"/>
    </row>
    <row r="38" spans="1:19" x14ac:dyDescent="0.25">
      <c r="A38" s="31" t="s">
        <v>505</v>
      </c>
      <c r="B38" s="32">
        <v>1</v>
      </c>
      <c r="C38" s="26">
        <v>80</v>
      </c>
      <c r="D38" s="20">
        <f t="shared" si="9"/>
        <v>80</v>
      </c>
      <c r="E38" s="24"/>
      <c r="F38" s="18">
        <v>10</v>
      </c>
      <c r="G38" s="18" t="s">
        <v>338</v>
      </c>
      <c r="H38" s="20">
        <f t="shared" si="10"/>
        <v>8</v>
      </c>
      <c r="J38" s="34"/>
      <c r="K38" s="34"/>
      <c r="L38" s="34"/>
      <c r="M38" s="34"/>
      <c r="O38" s="34"/>
      <c r="P38" s="347"/>
      <c r="Q38" s="34"/>
      <c r="R38" s="34"/>
      <c r="S38" s="34"/>
    </row>
    <row r="39" spans="1:19" x14ac:dyDescent="0.25">
      <c r="A39" s="31" t="s">
        <v>506</v>
      </c>
      <c r="B39" s="32">
        <v>21</v>
      </c>
      <c r="C39" s="26">
        <v>30</v>
      </c>
      <c r="D39" s="20">
        <f t="shared" si="9"/>
        <v>630</v>
      </c>
      <c r="E39" s="24"/>
      <c r="F39" s="18">
        <v>10</v>
      </c>
      <c r="G39" s="18" t="s">
        <v>338</v>
      </c>
      <c r="H39" s="20">
        <f t="shared" si="10"/>
        <v>63</v>
      </c>
      <c r="J39" s="340"/>
      <c r="K39" s="340"/>
      <c r="L39" s="340"/>
      <c r="M39" s="34"/>
      <c r="O39" s="34"/>
      <c r="P39" s="347"/>
      <c r="Q39" s="34"/>
      <c r="R39" s="34"/>
      <c r="S39" s="34"/>
    </row>
    <row r="40" spans="1:19" x14ac:dyDescent="0.25">
      <c r="A40" s="342" t="s">
        <v>114</v>
      </c>
      <c r="B40" s="343"/>
      <c r="C40" s="343"/>
      <c r="D40" s="328">
        <f>SUM(D30:D39)</f>
        <v>12547.065000000001</v>
      </c>
      <c r="E40" s="329"/>
      <c r="F40" s="330"/>
      <c r="G40" s="331"/>
      <c r="H40" s="332">
        <f>SUM(H30:H39)</f>
        <v>1254.7064999999998</v>
      </c>
      <c r="I40" s="348"/>
      <c r="J40" s="342"/>
      <c r="K40" s="343"/>
      <c r="L40" s="344"/>
      <c r="M40" s="349">
        <f>SUM(M30:M39)</f>
        <v>111.68360000000001</v>
      </c>
      <c r="O40" s="333"/>
      <c r="P40" s="334"/>
      <c r="Q40" s="334"/>
      <c r="R40" s="328">
        <f>SUM(R30:R39)</f>
        <v>1396.0450000000001</v>
      </c>
      <c r="S40" s="334"/>
    </row>
    <row r="41" spans="1:19" x14ac:dyDescent="0.25">
      <c r="A41" s="321" t="s">
        <v>361</v>
      </c>
      <c r="B41" s="321"/>
      <c r="C41" s="346"/>
      <c r="D41" s="321"/>
      <c r="E41" s="337"/>
      <c r="F41" s="321"/>
      <c r="G41" s="321"/>
      <c r="H41" s="321"/>
      <c r="J41" s="335"/>
      <c r="K41" s="335"/>
      <c r="L41" s="335"/>
      <c r="M41" s="292"/>
      <c r="O41" s="338"/>
      <c r="P41" s="339"/>
      <c r="Q41" s="339"/>
      <c r="R41" s="339"/>
      <c r="S41" s="339"/>
    </row>
    <row r="42" spans="1:19" x14ac:dyDescent="0.25">
      <c r="A42" s="31" t="s">
        <v>362</v>
      </c>
      <c r="B42" s="32">
        <v>1</v>
      </c>
      <c r="C42" s="27">
        <v>200</v>
      </c>
      <c r="D42" s="19">
        <f t="shared" ref="D42:D50" si="11">C42*B42</f>
        <v>200</v>
      </c>
      <c r="E42" s="25"/>
      <c r="F42" s="18">
        <v>10</v>
      </c>
      <c r="G42" s="18" t="s">
        <v>338</v>
      </c>
      <c r="H42" s="20">
        <f t="shared" ref="H42:H50" si="12">IFERROR(D42/F42,0)</f>
        <v>20</v>
      </c>
      <c r="J42" s="340"/>
      <c r="K42" s="340"/>
      <c r="L42" s="340"/>
      <c r="M42" s="34"/>
      <c r="O42" s="350"/>
      <c r="P42" s="34"/>
      <c r="Q42" s="34"/>
      <c r="R42" s="34"/>
      <c r="S42" s="34"/>
    </row>
    <row r="43" spans="1:19" x14ac:dyDescent="0.25">
      <c r="A43" s="31" t="s">
        <v>540</v>
      </c>
      <c r="B43" s="32">
        <v>1</v>
      </c>
      <c r="C43" s="33">
        <f>6500*B1</f>
        <v>21450</v>
      </c>
      <c r="D43" s="33">
        <f t="shared" si="11"/>
        <v>21450</v>
      </c>
      <c r="E43" s="25"/>
      <c r="F43" s="18">
        <v>10</v>
      </c>
      <c r="G43" s="18" t="s">
        <v>338</v>
      </c>
      <c r="H43" s="20">
        <f t="shared" si="12"/>
        <v>2145</v>
      </c>
      <c r="J43" s="340"/>
      <c r="K43" s="340"/>
      <c r="L43" s="340"/>
      <c r="M43" s="34"/>
      <c r="O43" s="350"/>
      <c r="P43" s="34"/>
      <c r="Q43" s="34"/>
      <c r="R43" s="34"/>
      <c r="S43" s="34"/>
    </row>
    <row r="44" spans="1:19" x14ac:dyDescent="0.25">
      <c r="A44" s="31" t="s">
        <v>363</v>
      </c>
      <c r="B44" s="32">
        <v>1</v>
      </c>
      <c r="C44" s="27">
        <v>27.11</v>
      </c>
      <c r="D44" s="19">
        <f t="shared" si="11"/>
        <v>27.11</v>
      </c>
      <c r="E44" s="25"/>
      <c r="F44" s="18">
        <v>10</v>
      </c>
      <c r="G44" s="18" t="s">
        <v>338</v>
      </c>
      <c r="H44" s="20">
        <f t="shared" si="12"/>
        <v>2.7109999999999999</v>
      </c>
      <c r="J44" s="340"/>
      <c r="K44" s="340"/>
      <c r="L44" s="340"/>
      <c r="M44" s="34"/>
      <c r="O44" s="350"/>
      <c r="P44" s="34"/>
      <c r="Q44" s="34"/>
      <c r="R44" s="34"/>
      <c r="S44" s="34"/>
    </row>
    <row r="45" spans="1:19" x14ac:dyDescent="0.25">
      <c r="A45" s="31" t="s">
        <v>364</v>
      </c>
      <c r="B45" s="32">
        <v>1</v>
      </c>
      <c r="C45" s="27">
        <v>100</v>
      </c>
      <c r="D45" s="19">
        <f t="shared" si="11"/>
        <v>100</v>
      </c>
      <c r="E45" s="25"/>
      <c r="F45" s="18">
        <v>10</v>
      </c>
      <c r="G45" s="18" t="s">
        <v>338</v>
      </c>
      <c r="H45" s="20">
        <f t="shared" si="12"/>
        <v>10</v>
      </c>
      <c r="J45" s="340"/>
      <c r="K45" s="340"/>
      <c r="L45" s="340"/>
      <c r="M45" s="34"/>
      <c r="O45" s="350"/>
      <c r="P45" s="34"/>
      <c r="Q45" s="34"/>
      <c r="R45" s="34"/>
      <c r="S45" s="34"/>
    </row>
    <row r="46" spans="1:19" x14ac:dyDescent="0.25">
      <c r="A46" s="31" t="s">
        <v>365</v>
      </c>
      <c r="B46" s="32">
        <v>1</v>
      </c>
      <c r="C46" s="27">
        <v>886.46</v>
      </c>
      <c r="D46" s="19">
        <f t="shared" si="11"/>
        <v>886.46</v>
      </c>
      <c r="E46" s="25"/>
      <c r="F46" s="18">
        <v>10</v>
      </c>
      <c r="G46" s="18" t="s">
        <v>338</v>
      </c>
      <c r="H46" s="20">
        <f t="shared" si="12"/>
        <v>88.646000000000001</v>
      </c>
      <c r="J46" s="340"/>
      <c r="K46" s="340"/>
      <c r="L46" s="340"/>
      <c r="M46" s="34"/>
      <c r="O46" s="350"/>
      <c r="P46" s="34"/>
      <c r="Q46" s="34"/>
      <c r="R46" s="34"/>
      <c r="S46" s="34"/>
    </row>
    <row r="47" spans="1:19" x14ac:dyDescent="0.25">
      <c r="A47" s="31" t="s">
        <v>366</v>
      </c>
      <c r="B47" s="32">
        <v>1</v>
      </c>
      <c r="C47" s="27">
        <v>144.07</v>
      </c>
      <c r="D47" s="19">
        <f t="shared" si="11"/>
        <v>144.07</v>
      </c>
      <c r="E47" s="25"/>
      <c r="F47" s="18">
        <v>10</v>
      </c>
      <c r="G47" s="18" t="s">
        <v>338</v>
      </c>
      <c r="H47" s="20">
        <f t="shared" si="12"/>
        <v>14.407</v>
      </c>
      <c r="J47" s="340"/>
      <c r="K47" s="340"/>
      <c r="L47" s="340"/>
      <c r="M47" s="34"/>
      <c r="O47" s="350"/>
      <c r="P47" s="34"/>
      <c r="Q47" s="34"/>
      <c r="R47" s="34"/>
      <c r="S47" s="34"/>
    </row>
    <row r="48" spans="1:19" x14ac:dyDescent="0.25">
      <c r="A48" s="31" t="s">
        <v>508</v>
      </c>
      <c r="B48" s="32">
        <v>1</v>
      </c>
      <c r="C48" s="27">
        <v>224.58</v>
      </c>
      <c r="D48" s="19">
        <f t="shared" si="11"/>
        <v>224.58</v>
      </c>
      <c r="E48" s="25"/>
      <c r="F48" s="18">
        <v>10</v>
      </c>
      <c r="G48" s="18" t="s">
        <v>338</v>
      </c>
      <c r="H48" s="20">
        <f t="shared" si="12"/>
        <v>22.458000000000002</v>
      </c>
      <c r="J48" s="340"/>
      <c r="K48" s="340"/>
      <c r="L48" s="340"/>
      <c r="M48" s="34"/>
      <c r="O48" s="350"/>
      <c r="P48" s="34"/>
      <c r="Q48" s="34"/>
      <c r="R48" s="34"/>
      <c r="S48" s="34"/>
    </row>
    <row r="49" spans="1:19" x14ac:dyDescent="0.25">
      <c r="A49" s="31" t="s">
        <v>509</v>
      </c>
      <c r="B49" s="32">
        <v>1</v>
      </c>
      <c r="C49" s="27">
        <v>152.54</v>
      </c>
      <c r="D49" s="19">
        <f t="shared" si="11"/>
        <v>152.54</v>
      </c>
      <c r="E49" s="25"/>
      <c r="F49" s="18">
        <v>10</v>
      </c>
      <c r="G49" s="18" t="s">
        <v>338</v>
      </c>
      <c r="H49" s="20">
        <f t="shared" si="12"/>
        <v>15.254</v>
      </c>
      <c r="J49" s="340"/>
      <c r="K49" s="340"/>
      <c r="L49" s="340"/>
      <c r="M49" s="34"/>
      <c r="O49" s="350"/>
      <c r="P49" s="34"/>
      <c r="Q49" s="34"/>
      <c r="R49" s="34"/>
      <c r="S49" s="34"/>
    </row>
    <row r="50" spans="1:19" x14ac:dyDescent="0.25">
      <c r="A50" s="31" t="s">
        <v>510</v>
      </c>
      <c r="B50" s="32">
        <v>1</v>
      </c>
      <c r="C50" s="27">
        <v>100.53</v>
      </c>
      <c r="D50" s="19">
        <f t="shared" si="11"/>
        <v>100.53</v>
      </c>
      <c r="E50" s="25"/>
      <c r="F50" s="18">
        <v>10</v>
      </c>
      <c r="G50" s="18" t="s">
        <v>338</v>
      </c>
      <c r="H50" s="20">
        <f t="shared" si="12"/>
        <v>10.053000000000001</v>
      </c>
      <c r="J50" s="340"/>
      <c r="K50" s="340"/>
      <c r="L50" s="340"/>
      <c r="M50" s="34"/>
      <c r="O50" s="350"/>
      <c r="P50" s="34"/>
      <c r="Q50" s="34"/>
      <c r="R50" s="34"/>
      <c r="S50" s="34"/>
    </row>
    <row r="51" spans="1:19" x14ac:dyDescent="0.25">
      <c r="A51" s="342" t="s">
        <v>114</v>
      </c>
      <c r="B51" s="343"/>
      <c r="C51" s="343"/>
      <c r="D51" s="328">
        <f>SUM(D42:D50)</f>
        <v>23285.29</v>
      </c>
      <c r="E51" s="329"/>
      <c r="F51" s="330"/>
      <c r="G51" s="331"/>
      <c r="H51" s="332">
        <f>SUM(H42:H50)</f>
        <v>2328.529</v>
      </c>
      <c r="J51" s="342"/>
      <c r="K51" s="343"/>
      <c r="L51" s="344"/>
      <c r="M51" s="351"/>
      <c r="O51" s="333"/>
      <c r="P51" s="334"/>
      <c r="Q51" s="334"/>
      <c r="R51" s="334"/>
      <c r="S51" s="334"/>
    </row>
    <row r="52" spans="1:19" x14ac:dyDescent="0.25">
      <c r="A52" s="321" t="s">
        <v>367</v>
      </c>
      <c r="B52" s="321"/>
      <c r="C52" s="346"/>
      <c r="D52" s="321"/>
      <c r="E52" s="337"/>
      <c r="F52" s="321"/>
      <c r="G52" s="321"/>
      <c r="H52" s="321"/>
      <c r="J52" s="335"/>
      <c r="K52" s="335"/>
      <c r="L52" s="335"/>
      <c r="M52" s="292"/>
      <c r="O52" s="338"/>
      <c r="P52" s="339"/>
      <c r="Q52" s="339"/>
      <c r="R52" s="339"/>
      <c r="S52" s="339"/>
    </row>
    <row r="53" spans="1:19" x14ac:dyDescent="0.25">
      <c r="A53" s="30" t="s">
        <v>511</v>
      </c>
      <c r="B53" s="32">
        <v>4</v>
      </c>
      <c r="C53" s="26">
        <v>49.58</v>
      </c>
      <c r="D53" s="20">
        <f t="shared" ref="D53:D66" si="13">C53*B53</f>
        <v>198.32</v>
      </c>
      <c r="E53" s="24"/>
      <c r="F53" s="18">
        <v>10</v>
      </c>
      <c r="G53" s="18" t="s">
        <v>338</v>
      </c>
      <c r="H53" s="20">
        <f t="shared" ref="H53:H66" si="14">IFERROR(D53/F53,0)</f>
        <v>19.832000000000001</v>
      </c>
      <c r="J53" s="340"/>
      <c r="K53" s="340"/>
      <c r="L53" s="340"/>
      <c r="M53" s="34"/>
      <c r="O53" s="34"/>
      <c r="P53" s="34"/>
      <c r="Q53" s="34"/>
      <c r="R53" s="34"/>
      <c r="S53" s="34"/>
    </row>
    <row r="54" spans="1:19" x14ac:dyDescent="0.25">
      <c r="A54" s="30" t="s">
        <v>512</v>
      </c>
      <c r="B54" s="32">
        <v>4</v>
      </c>
      <c r="C54" s="26">
        <v>32.03</v>
      </c>
      <c r="D54" s="20">
        <f t="shared" si="13"/>
        <v>128.12</v>
      </c>
      <c r="E54" s="24"/>
      <c r="F54" s="18">
        <v>10</v>
      </c>
      <c r="G54" s="18" t="s">
        <v>338</v>
      </c>
      <c r="H54" s="20">
        <f t="shared" si="14"/>
        <v>12.812000000000001</v>
      </c>
      <c r="J54" s="340"/>
      <c r="K54" s="340"/>
      <c r="L54" s="340"/>
      <c r="M54" s="34"/>
      <c r="O54" s="34"/>
      <c r="P54" s="34"/>
      <c r="Q54" s="34"/>
      <c r="R54" s="34"/>
      <c r="S54" s="34"/>
    </row>
    <row r="55" spans="1:19" x14ac:dyDescent="0.25">
      <c r="A55" s="30" t="s">
        <v>368</v>
      </c>
      <c r="B55" s="32">
        <v>4</v>
      </c>
      <c r="C55" s="26">
        <v>338.14</v>
      </c>
      <c r="D55" s="20">
        <f t="shared" si="13"/>
        <v>1352.56</v>
      </c>
      <c r="E55" s="24"/>
      <c r="F55" s="18">
        <v>10</v>
      </c>
      <c r="G55" s="18" t="s">
        <v>338</v>
      </c>
      <c r="H55" s="20">
        <f t="shared" si="14"/>
        <v>135.256</v>
      </c>
      <c r="J55" s="340"/>
      <c r="K55" s="340"/>
      <c r="L55" s="340"/>
      <c r="M55" s="34"/>
      <c r="O55" s="34"/>
      <c r="P55" s="34"/>
      <c r="Q55" s="34"/>
      <c r="R55" s="34"/>
      <c r="S55" s="34"/>
    </row>
    <row r="56" spans="1:19" x14ac:dyDescent="0.25">
      <c r="A56" s="30" t="s">
        <v>369</v>
      </c>
      <c r="B56" s="32">
        <v>8</v>
      </c>
      <c r="C56" s="26">
        <v>127.03</v>
      </c>
      <c r="D56" s="20">
        <f t="shared" si="13"/>
        <v>1016.24</v>
      </c>
      <c r="E56" s="24"/>
      <c r="F56" s="18">
        <v>10</v>
      </c>
      <c r="G56" s="18" t="s">
        <v>338</v>
      </c>
      <c r="H56" s="20">
        <f t="shared" si="14"/>
        <v>101.624</v>
      </c>
      <c r="J56" s="340"/>
      <c r="K56" s="340"/>
      <c r="L56" s="340"/>
      <c r="M56" s="34"/>
      <c r="O56" s="34"/>
      <c r="P56" s="34"/>
      <c r="Q56" s="34"/>
      <c r="R56" s="34"/>
      <c r="S56" s="34"/>
    </row>
    <row r="57" spans="1:19" x14ac:dyDescent="0.25">
      <c r="A57" s="30" t="s">
        <v>370</v>
      </c>
      <c r="B57" s="32">
        <v>8</v>
      </c>
      <c r="C57" s="26">
        <v>24.49</v>
      </c>
      <c r="D57" s="20">
        <f t="shared" si="13"/>
        <v>195.92</v>
      </c>
      <c r="E57" s="24"/>
      <c r="F57" s="18">
        <v>10</v>
      </c>
      <c r="G57" s="18" t="s">
        <v>338</v>
      </c>
      <c r="H57" s="20">
        <f t="shared" si="14"/>
        <v>19.591999999999999</v>
      </c>
      <c r="J57" s="340"/>
      <c r="K57" s="340"/>
      <c r="L57" s="340"/>
      <c r="M57" s="34"/>
      <c r="O57" s="34"/>
      <c r="P57" s="347"/>
      <c r="Q57" s="34"/>
      <c r="R57" s="34"/>
      <c r="S57" s="34"/>
    </row>
    <row r="58" spans="1:19" x14ac:dyDescent="0.25">
      <c r="A58" s="30" t="s">
        <v>371</v>
      </c>
      <c r="B58" s="32">
        <v>8</v>
      </c>
      <c r="C58" s="26">
        <v>29.58</v>
      </c>
      <c r="D58" s="20">
        <f t="shared" si="13"/>
        <v>236.64</v>
      </c>
      <c r="E58" s="24"/>
      <c r="F58" s="18">
        <v>10</v>
      </c>
      <c r="G58" s="18" t="s">
        <v>338</v>
      </c>
      <c r="H58" s="20">
        <f t="shared" si="14"/>
        <v>23.663999999999998</v>
      </c>
      <c r="J58" s="340"/>
      <c r="K58" s="340"/>
      <c r="L58" s="340"/>
      <c r="M58" s="34"/>
      <c r="O58" s="34"/>
      <c r="P58" s="347"/>
      <c r="Q58" s="34"/>
      <c r="R58" s="34"/>
      <c r="S58" s="34"/>
    </row>
    <row r="59" spans="1:19" x14ac:dyDescent="0.25">
      <c r="A59" s="30" t="s">
        <v>372</v>
      </c>
      <c r="B59" s="32">
        <v>2</v>
      </c>
      <c r="C59" s="26">
        <v>1271.19</v>
      </c>
      <c r="D59" s="20">
        <f t="shared" si="13"/>
        <v>2542.38</v>
      </c>
      <c r="E59" s="24"/>
      <c r="F59" s="18">
        <v>10</v>
      </c>
      <c r="G59" s="18" t="s">
        <v>338</v>
      </c>
      <c r="H59" s="20">
        <f t="shared" si="14"/>
        <v>254.238</v>
      </c>
      <c r="J59" s="18">
        <v>12</v>
      </c>
      <c r="K59" s="18" t="s">
        <v>339</v>
      </c>
      <c r="L59" s="19">
        <f>D59*4%</f>
        <v>101.6952</v>
      </c>
      <c r="M59" s="19">
        <f>IFERROR(L59*12/J59*B59,0)</f>
        <v>203.3904</v>
      </c>
      <c r="O59" s="18">
        <v>5</v>
      </c>
      <c r="P59" s="322">
        <f>IF(D59*(1-O59/F59)&gt;0,D59*(1-O59/F59),0)</f>
        <v>1271.19</v>
      </c>
      <c r="Q59" s="323">
        <v>0.5</v>
      </c>
      <c r="R59" s="322">
        <f>Q59*D59</f>
        <v>1271.19</v>
      </c>
      <c r="S59" s="324">
        <f>(R59-P59)*(1-$D$1)</f>
        <v>0</v>
      </c>
    </row>
    <row r="60" spans="1:19" x14ac:dyDescent="0.25">
      <c r="A60" s="30" t="s">
        <v>373</v>
      </c>
      <c r="B60" s="32">
        <v>8</v>
      </c>
      <c r="C60" s="26">
        <v>29.58</v>
      </c>
      <c r="D60" s="20">
        <f t="shared" si="13"/>
        <v>236.64</v>
      </c>
      <c r="E60" s="24"/>
      <c r="F60" s="18">
        <v>10</v>
      </c>
      <c r="G60" s="18" t="s">
        <v>338</v>
      </c>
      <c r="H60" s="20">
        <f t="shared" si="14"/>
        <v>23.663999999999998</v>
      </c>
      <c r="J60" s="340"/>
      <c r="K60" s="340"/>
      <c r="L60" s="340"/>
      <c r="M60" s="34"/>
      <c r="O60" s="34"/>
      <c r="P60" s="347"/>
      <c r="Q60" s="34"/>
      <c r="R60" s="347"/>
      <c r="S60" s="34"/>
    </row>
    <row r="61" spans="1:19" x14ac:dyDescent="0.25">
      <c r="A61" s="30" t="s">
        <v>374</v>
      </c>
      <c r="B61" s="32">
        <v>4</v>
      </c>
      <c r="C61" s="26">
        <v>587.32000000000005</v>
      </c>
      <c r="D61" s="20">
        <f t="shared" si="13"/>
        <v>2349.2800000000002</v>
      </c>
      <c r="E61" s="24"/>
      <c r="F61" s="18">
        <v>10</v>
      </c>
      <c r="G61" s="18" t="s">
        <v>338</v>
      </c>
      <c r="H61" s="20">
        <f t="shared" si="14"/>
        <v>234.92800000000003</v>
      </c>
      <c r="J61" s="340"/>
      <c r="K61" s="340"/>
      <c r="L61" s="340"/>
      <c r="M61" s="34"/>
      <c r="O61" s="34"/>
      <c r="P61" s="347"/>
      <c r="Q61" s="34"/>
      <c r="R61" s="347"/>
      <c r="S61" s="34"/>
    </row>
    <row r="62" spans="1:19" x14ac:dyDescent="0.25">
      <c r="A62" s="30" t="s">
        <v>375</v>
      </c>
      <c r="B62" s="32">
        <v>12</v>
      </c>
      <c r="C62" s="26">
        <v>33.81</v>
      </c>
      <c r="D62" s="20">
        <f t="shared" si="13"/>
        <v>405.72</v>
      </c>
      <c r="E62" s="24"/>
      <c r="F62" s="18">
        <v>10</v>
      </c>
      <c r="G62" s="18" t="s">
        <v>338</v>
      </c>
      <c r="H62" s="20">
        <f t="shared" si="14"/>
        <v>40.572000000000003</v>
      </c>
      <c r="J62" s="340"/>
      <c r="K62" s="340"/>
      <c r="L62" s="340"/>
      <c r="M62" s="34"/>
      <c r="O62" s="34"/>
      <c r="P62" s="347"/>
      <c r="Q62" s="34"/>
      <c r="R62" s="347"/>
      <c r="S62" s="34"/>
    </row>
    <row r="63" spans="1:19" x14ac:dyDescent="0.25">
      <c r="A63" s="30" t="s">
        <v>376</v>
      </c>
      <c r="B63" s="32">
        <v>12</v>
      </c>
      <c r="C63" s="26">
        <v>27.88</v>
      </c>
      <c r="D63" s="20">
        <f t="shared" si="13"/>
        <v>334.56</v>
      </c>
      <c r="E63" s="24"/>
      <c r="F63" s="18">
        <v>10</v>
      </c>
      <c r="G63" s="18" t="s">
        <v>338</v>
      </c>
      <c r="H63" s="20">
        <f t="shared" si="14"/>
        <v>33.456000000000003</v>
      </c>
      <c r="J63" s="340"/>
      <c r="K63" s="340"/>
      <c r="L63" s="340"/>
      <c r="M63" s="34"/>
      <c r="O63" s="34"/>
      <c r="P63" s="347"/>
      <c r="Q63" s="34"/>
      <c r="R63" s="34"/>
      <c r="S63" s="34"/>
    </row>
    <row r="64" spans="1:19" x14ac:dyDescent="0.25">
      <c r="A64" s="30" t="s">
        <v>377</v>
      </c>
      <c r="B64" s="32">
        <v>8</v>
      </c>
      <c r="C64" s="26">
        <v>46.86</v>
      </c>
      <c r="D64" s="20">
        <f t="shared" si="13"/>
        <v>374.88</v>
      </c>
      <c r="E64" s="24"/>
      <c r="F64" s="18">
        <v>10</v>
      </c>
      <c r="G64" s="18" t="s">
        <v>338</v>
      </c>
      <c r="H64" s="20">
        <f t="shared" si="14"/>
        <v>37.488</v>
      </c>
      <c r="J64" s="340"/>
      <c r="K64" s="340"/>
      <c r="L64" s="340"/>
      <c r="M64" s="34"/>
      <c r="O64" s="34"/>
      <c r="P64" s="347"/>
      <c r="Q64" s="34"/>
      <c r="R64" s="34"/>
      <c r="S64" s="34"/>
    </row>
    <row r="65" spans="1:19" x14ac:dyDescent="0.25">
      <c r="A65" s="30" t="s">
        <v>378</v>
      </c>
      <c r="B65" s="32">
        <v>14</v>
      </c>
      <c r="C65" s="26">
        <v>48.22</v>
      </c>
      <c r="D65" s="20">
        <f t="shared" si="13"/>
        <v>675.07999999999993</v>
      </c>
      <c r="E65" s="24"/>
      <c r="F65" s="18">
        <v>10</v>
      </c>
      <c r="G65" s="18" t="s">
        <v>338</v>
      </c>
      <c r="H65" s="20">
        <f t="shared" si="14"/>
        <v>67.507999999999996</v>
      </c>
      <c r="J65" s="340"/>
      <c r="K65" s="340"/>
      <c r="L65" s="340"/>
      <c r="M65" s="34"/>
      <c r="O65" s="34"/>
      <c r="P65" s="347"/>
      <c r="Q65" s="34"/>
      <c r="R65" s="34"/>
      <c r="S65" s="34"/>
    </row>
    <row r="66" spans="1:19" x14ac:dyDescent="0.25">
      <c r="A66" s="30" t="s">
        <v>379</v>
      </c>
      <c r="B66" s="32">
        <v>8</v>
      </c>
      <c r="C66" s="26">
        <v>588.98</v>
      </c>
      <c r="D66" s="20">
        <f t="shared" si="13"/>
        <v>4711.84</v>
      </c>
      <c r="E66" s="24"/>
      <c r="F66" s="18">
        <v>10</v>
      </c>
      <c r="G66" s="18" t="s">
        <v>338</v>
      </c>
      <c r="H66" s="20">
        <f t="shared" si="14"/>
        <v>471.18400000000003</v>
      </c>
      <c r="J66" s="340"/>
      <c r="K66" s="340"/>
      <c r="L66" s="340"/>
      <c r="M66" s="34"/>
      <c r="O66" s="18">
        <v>5</v>
      </c>
      <c r="P66" s="322">
        <f>IF(D66*(1-O66/F66)&gt;0,D66*(1-O66/F66),0)</f>
        <v>2355.92</v>
      </c>
      <c r="Q66" s="323">
        <v>0.5</v>
      </c>
      <c r="R66" s="322">
        <f>Q66*D66</f>
        <v>2355.92</v>
      </c>
      <c r="S66" s="324">
        <f>(R66-P66)*(1-$D$1)</f>
        <v>0</v>
      </c>
    </row>
    <row r="67" spans="1:19" x14ac:dyDescent="0.25">
      <c r="A67" s="342" t="s">
        <v>114</v>
      </c>
      <c r="B67" s="343"/>
      <c r="C67" s="343"/>
      <c r="D67" s="328">
        <f>SUM(D53:D66)</f>
        <v>14758.179999999998</v>
      </c>
      <c r="E67" s="329"/>
      <c r="F67" s="330"/>
      <c r="G67" s="331"/>
      <c r="H67" s="332">
        <f>SUM(H53:H66)</f>
        <v>1475.818</v>
      </c>
      <c r="J67" s="342"/>
      <c r="K67" s="343"/>
      <c r="L67" s="344"/>
      <c r="M67" s="349">
        <f>SUM(M53:M66)</f>
        <v>203.3904</v>
      </c>
      <c r="O67" s="333"/>
      <c r="P67" s="334"/>
      <c r="Q67" s="352"/>
      <c r="R67" s="353">
        <f>SUM(R53:R66)</f>
        <v>3627.11</v>
      </c>
      <c r="S67" s="352"/>
    </row>
    <row r="68" spans="1:19" x14ac:dyDescent="0.25">
      <c r="A68" s="321" t="s">
        <v>380</v>
      </c>
      <c r="B68" s="321"/>
      <c r="C68" s="346"/>
      <c r="D68" s="321"/>
      <c r="E68" s="337"/>
      <c r="F68" s="321"/>
      <c r="G68" s="321"/>
      <c r="H68" s="321"/>
      <c r="J68" s="335"/>
      <c r="K68" s="335"/>
      <c r="L68" s="335"/>
      <c r="M68" s="292"/>
      <c r="O68" s="338"/>
      <c r="P68" s="339"/>
      <c r="Q68" s="339"/>
      <c r="R68" s="354"/>
      <c r="S68" s="339"/>
    </row>
    <row r="69" spans="1:19" ht="15" customHeight="1" x14ac:dyDescent="0.25">
      <c r="A69" s="31" t="s">
        <v>450</v>
      </c>
      <c r="B69" s="18">
        <v>1</v>
      </c>
      <c r="C69" s="355"/>
      <c r="D69" s="723">
        <v>9841</v>
      </c>
      <c r="E69" s="163"/>
      <c r="F69" s="18">
        <v>10</v>
      </c>
      <c r="G69" s="18" t="s">
        <v>338</v>
      </c>
      <c r="H69" s="723">
        <f>IFERROR(D69/F70,0)</f>
        <v>984.1</v>
      </c>
      <c r="J69" s="18">
        <v>12</v>
      </c>
      <c r="K69" s="18" t="s">
        <v>339</v>
      </c>
      <c r="L69" s="726">
        <f>D69*4%</f>
        <v>393.64</v>
      </c>
      <c r="M69" s="726">
        <f>IFERROR(L69*12/J69*B69,0)</f>
        <v>393.64000000000004</v>
      </c>
      <c r="O69" s="350"/>
      <c r="P69" s="34"/>
      <c r="Q69" s="34"/>
      <c r="R69" s="347"/>
      <c r="S69" s="34"/>
    </row>
    <row r="70" spans="1:19" x14ac:dyDescent="0.25">
      <c r="A70" s="31" t="s">
        <v>381</v>
      </c>
      <c r="B70" s="18">
        <v>1</v>
      </c>
      <c r="C70" s="355"/>
      <c r="D70" s="724"/>
      <c r="E70" s="163"/>
      <c r="F70" s="18">
        <v>10</v>
      </c>
      <c r="G70" s="18" t="s">
        <v>338</v>
      </c>
      <c r="H70" s="724"/>
      <c r="J70" s="18">
        <v>12</v>
      </c>
      <c r="K70" s="18" t="s">
        <v>339</v>
      </c>
      <c r="L70" s="727"/>
      <c r="M70" s="727"/>
      <c r="O70" s="350"/>
      <c r="P70" s="34"/>
      <c r="Q70" s="34"/>
      <c r="R70" s="34"/>
      <c r="S70" s="34"/>
    </row>
    <row r="71" spans="1:19" ht="13.5" customHeight="1" x14ac:dyDescent="0.25">
      <c r="A71" s="31" t="s">
        <v>451</v>
      </c>
      <c r="B71" s="18">
        <v>1</v>
      </c>
      <c r="C71" s="355"/>
      <c r="D71" s="725"/>
      <c r="E71" s="163"/>
      <c r="F71" s="18">
        <v>10</v>
      </c>
      <c r="G71" s="18" t="s">
        <v>338</v>
      </c>
      <c r="H71" s="725"/>
      <c r="J71" s="18">
        <v>12</v>
      </c>
      <c r="K71" s="18" t="s">
        <v>339</v>
      </c>
      <c r="L71" s="728"/>
      <c r="M71" s="728"/>
      <c r="O71" s="350"/>
      <c r="P71" s="34"/>
      <c r="Q71" s="34"/>
      <c r="R71" s="34"/>
      <c r="S71" s="34"/>
    </row>
    <row r="72" spans="1:19" x14ac:dyDescent="0.25">
      <c r="A72" s="342" t="s">
        <v>114</v>
      </c>
      <c r="B72" s="343"/>
      <c r="C72" s="343"/>
      <c r="D72" s="328">
        <f>SUM(D69:D71)</f>
        <v>9841</v>
      </c>
      <c r="E72" s="329"/>
      <c r="F72" s="330"/>
      <c r="G72" s="331"/>
      <c r="H72" s="332">
        <f>SUM(H69:H71)</f>
        <v>984.1</v>
      </c>
      <c r="J72" s="342"/>
      <c r="K72" s="343"/>
      <c r="L72" s="344"/>
      <c r="M72" s="349">
        <f>SUM(M69:M71)</f>
        <v>393.64000000000004</v>
      </c>
      <c r="O72" s="333"/>
      <c r="P72" s="334"/>
      <c r="Q72" s="334"/>
      <c r="R72" s="334"/>
      <c r="S72" s="334"/>
    </row>
    <row r="73" spans="1:19" x14ac:dyDescent="0.25">
      <c r="A73" s="321" t="s">
        <v>382</v>
      </c>
      <c r="B73" s="321"/>
      <c r="C73" s="346"/>
      <c r="D73" s="321"/>
      <c r="E73" s="337"/>
      <c r="F73" s="321"/>
      <c r="G73" s="321"/>
      <c r="H73" s="321"/>
      <c r="J73" s="335"/>
      <c r="K73" s="335"/>
      <c r="L73" s="335"/>
      <c r="M73" s="292"/>
      <c r="O73" s="338"/>
      <c r="P73" s="339"/>
      <c r="Q73" s="339"/>
      <c r="R73" s="339"/>
      <c r="S73" s="339"/>
    </row>
    <row r="74" spans="1:19" ht="25.5" x14ac:dyDescent="0.25">
      <c r="A74" s="31" t="s">
        <v>383</v>
      </c>
      <c r="B74" s="19">
        <v>2</v>
      </c>
      <c r="C74" s="33">
        <v>560.48</v>
      </c>
      <c r="D74" s="20">
        <f t="shared" ref="D74:D83" si="15">C74*B74</f>
        <v>1120.96</v>
      </c>
      <c r="E74" s="24"/>
      <c r="F74" s="18">
        <v>10</v>
      </c>
      <c r="G74" s="18" t="s">
        <v>338</v>
      </c>
      <c r="H74" s="20">
        <f t="shared" ref="H74:H83" si="16">IFERROR(D74/F74,0)</f>
        <v>112.096</v>
      </c>
      <c r="J74" s="18">
        <v>12</v>
      </c>
      <c r="K74" s="18" t="s">
        <v>339</v>
      </c>
      <c r="L74" s="20">
        <f>C74*4%</f>
        <v>22.4192</v>
      </c>
      <c r="M74" s="20">
        <f>IFERROR(L74*12/J74*B74,0)</f>
        <v>44.8384</v>
      </c>
      <c r="O74" s="18">
        <v>5</v>
      </c>
      <c r="P74" s="322">
        <f>IF(D74*(1-O74/F74)&gt;0,D74*(1-O74/F74),0)</f>
        <v>560.48</v>
      </c>
      <c r="Q74" s="323">
        <v>0.5</v>
      </c>
      <c r="R74" s="322">
        <f>Q74*D74</f>
        <v>560.48</v>
      </c>
      <c r="S74" s="324">
        <f>(R74-P74)*(1-$D$1)</f>
        <v>0</v>
      </c>
    </row>
    <row r="75" spans="1:19" x14ac:dyDescent="0.25">
      <c r="A75" s="31" t="s">
        <v>384</v>
      </c>
      <c r="B75" s="19">
        <v>3</v>
      </c>
      <c r="C75" s="33">
        <v>1499</v>
      </c>
      <c r="D75" s="20">
        <f t="shared" si="15"/>
        <v>4497</v>
      </c>
      <c r="E75" s="24"/>
      <c r="F75" s="18">
        <v>10</v>
      </c>
      <c r="G75" s="18" t="s">
        <v>338</v>
      </c>
      <c r="H75" s="20">
        <f t="shared" si="16"/>
        <v>449.7</v>
      </c>
      <c r="J75" s="18">
        <v>12</v>
      </c>
      <c r="K75" s="18" t="s">
        <v>339</v>
      </c>
      <c r="L75" s="20">
        <f>C75*4%</f>
        <v>59.96</v>
      </c>
      <c r="M75" s="20">
        <f>IFERROR(L75*12/J75*B75,0)</f>
        <v>179.88</v>
      </c>
      <c r="O75" s="18">
        <v>5</v>
      </c>
      <c r="P75" s="322">
        <f>IF(D75*(1-O75/F75)&gt;0,D75*(1-O75/F75),0)</f>
        <v>2248.5</v>
      </c>
      <c r="Q75" s="323">
        <v>0.5</v>
      </c>
      <c r="R75" s="322">
        <f>Q75*D75</f>
        <v>2248.5</v>
      </c>
      <c r="S75" s="324">
        <f>(R75-P75)*(1-$D$1)</f>
        <v>0</v>
      </c>
    </row>
    <row r="76" spans="1:19" x14ac:dyDescent="0.25">
      <c r="A76" s="31" t="s">
        <v>653</v>
      </c>
      <c r="B76" s="19">
        <v>8</v>
      </c>
      <c r="C76" s="33">
        <v>2056.06</v>
      </c>
      <c r="D76" s="20">
        <f t="shared" si="15"/>
        <v>16448.48</v>
      </c>
      <c r="E76" s="24"/>
      <c r="F76" s="18">
        <v>10</v>
      </c>
      <c r="G76" s="18" t="s">
        <v>338</v>
      </c>
      <c r="H76" s="20">
        <f t="shared" si="16"/>
        <v>1644.848</v>
      </c>
      <c r="J76" s="18">
        <v>12</v>
      </c>
      <c r="K76" s="18" t="s">
        <v>339</v>
      </c>
      <c r="L76" s="20">
        <f>C76*4%</f>
        <v>82.242400000000004</v>
      </c>
      <c r="M76" s="20">
        <f>IFERROR(L76*12/J76*B76,0)</f>
        <v>657.93920000000003</v>
      </c>
      <c r="O76" s="18">
        <v>5</v>
      </c>
      <c r="P76" s="322">
        <f>IF(D76*(1-O76/F76)&gt;0,D76*(1-O76/F76),0)</f>
        <v>8224.24</v>
      </c>
      <c r="Q76" s="323">
        <v>0.5</v>
      </c>
      <c r="R76" s="322">
        <f>Q76*D76</f>
        <v>8224.24</v>
      </c>
      <c r="S76" s="324">
        <f>(R76-P76)*(1-$D$1)</f>
        <v>0</v>
      </c>
    </row>
    <row r="77" spans="1:19" x14ac:dyDescent="0.25">
      <c r="A77" s="31" t="s">
        <v>385</v>
      </c>
      <c r="B77" s="19">
        <v>1</v>
      </c>
      <c r="C77" s="33">
        <v>1204.56</v>
      </c>
      <c r="D77" s="20">
        <f t="shared" si="15"/>
        <v>1204.56</v>
      </c>
      <c r="E77" s="24"/>
      <c r="F77" s="18">
        <v>10</v>
      </c>
      <c r="G77" s="18" t="s">
        <v>338</v>
      </c>
      <c r="H77" s="20">
        <f t="shared" si="16"/>
        <v>120.45599999999999</v>
      </c>
      <c r="J77" s="18">
        <v>12</v>
      </c>
      <c r="K77" s="18" t="s">
        <v>339</v>
      </c>
      <c r="L77" s="20">
        <f>C77*4%</f>
        <v>48.182400000000001</v>
      </c>
      <c r="M77" s="20">
        <f>IFERROR(L77*12/J77*B77,0)</f>
        <v>48.182400000000001</v>
      </c>
      <c r="O77" s="18">
        <v>5</v>
      </c>
      <c r="P77" s="322">
        <f>IF(D77*(1-O77/F77)&gt;0,D77*(1-O77/F77),0)</f>
        <v>602.28</v>
      </c>
      <c r="Q77" s="323">
        <v>0.5</v>
      </c>
      <c r="R77" s="322">
        <f>Q77*D77</f>
        <v>602.28</v>
      </c>
      <c r="S77" s="324">
        <f>(R77-P77)*(1-$D$1)</f>
        <v>0</v>
      </c>
    </row>
    <row r="78" spans="1:19" x14ac:dyDescent="0.25">
      <c r="A78" s="31" t="s">
        <v>386</v>
      </c>
      <c r="B78" s="19">
        <v>1</v>
      </c>
      <c r="C78" s="33">
        <v>6750</v>
      </c>
      <c r="D78" s="20">
        <f t="shared" si="15"/>
        <v>6750</v>
      </c>
      <c r="E78" s="24"/>
      <c r="F78" s="18">
        <v>10</v>
      </c>
      <c r="G78" s="18" t="s">
        <v>338</v>
      </c>
      <c r="H78" s="20">
        <f t="shared" si="16"/>
        <v>675</v>
      </c>
      <c r="J78" s="340"/>
      <c r="K78" s="340"/>
      <c r="L78" s="340"/>
      <c r="M78" s="34"/>
      <c r="O78" s="34"/>
      <c r="P78" s="34"/>
      <c r="Q78" s="34"/>
      <c r="R78" s="34"/>
      <c r="S78" s="34"/>
    </row>
    <row r="79" spans="1:19" x14ac:dyDescent="0.25">
      <c r="A79" s="31" t="s">
        <v>387</v>
      </c>
      <c r="B79" s="19">
        <v>8</v>
      </c>
      <c r="C79" s="33">
        <v>700</v>
      </c>
      <c r="D79" s="20">
        <f t="shared" si="15"/>
        <v>5600</v>
      </c>
      <c r="E79" s="24"/>
      <c r="F79" s="18">
        <v>10</v>
      </c>
      <c r="G79" s="18" t="s">
        <v>338</v>
      </c>
      <c r="H79" s="20">
        <f t="shared" si="16"/>
        <v>560</v>
      </c>
      <c r="J79" s="340"/>
      <c r="K79" s="340"/>
      <c r="L79" s="340"/>
      <c r="M79" s="34"/>
      <c r="O79" s="34"/>
      <c r="P79" s="34"/>
      <c r="Q79" s="34"/>
      <c r="R79" s="34"/>
      <c r="S79" s="34"/>
    </row>
    <row r="80" spans="1:19" x14ac:dyDescent="0.25">
      <c r="A80" s="31" t="s">
        <v>388</v>
      </c>
      <c r="B80" s="19">
        <v>3</v>
      </c>
      <c r="C80" s="33">
        <v>520</v>
      </c>
      <c r="D80" s="20">
        <f t="shared" si="15"/>
        <v>1560</v>
      </c>
      <c r="E80" s="24"/>
      <c r="F80" s="18">
        <v>10</v>
      </c>
      <c r="G80" s="18" t="s">
        <v>338</v>
      </c>
      <c r="H80" s="20">
        <f t="shared" si="16"/>
        <v>156</v>
      </c>
      <c r="J80" s="340"/>
      <c r="K80" s="340"/>
      <c r="L80" s="340"/>
      <c r="M80" s="34"/>
      <c r="O80" s="34"/>
      <c r="P80" s="34"/>
      <c r="Q80" s="34"/>
      <c r="R80" s="34"/>
      <c r="S80" s="34"/>
    </row>
    <row r="81" spans="1:19" x14ac:dyDescent="0.25">
      <c r="A81" s="31" t="s">
        <v>389</v>
      </c>
      <c r="B81" s="19">
        <v>5</v>
      </c>
      <c r="C81" s="33">
        <v>390</v>
      </c>
      <c r="D81" s="20">
        <f t="shared" si="15"/>
        <v>1950</v>
      </c>
      <c r="E81" s="24"/>
      <c r="F81" s="18">
        <v>10</v>
      </c>
      <c r="G81" s="18" t="s">
        <v>338</v>
      </c>
      <c r="H81" s="20">
        <f t="shared" si="16"/>
        <v>195</v>
      </c>
      <c r="J81" s="340"/>
      <c r="K81" s="340"/>
      <c r="L81" s="340"/>
      <c r="M81" s="34"/>
      <c r="O81" s="34"/>
      <c r="P81" s="34"/>
      <c r="Q81" s="34"/>
      <c r="R81" s="34"/>
      <c r="S81" s="34"/>
    </row>
    <row r="82" spans="1:19" x14ac:dyDescent="0.25">
      <c r="A82" s="31" t="s">
        <v>390</v>
      </c>
      <c r="B82" s="19">
        <v>6</v>
      </c>
      <c r="C82" s="33">
        <v>720</v>
      </c>
      <c r="D82" s="20">
        <f t="shared" si="15"/>
        <v>4320</v>
      </c>
      <c r="E82" s="24"/>
      <c r="F82" s="18">
        <v>10</v>
      </c>
      <c r="G82" s="18" t="s">
        <v>338</v>
      </c>
      <c r="H82" s="20">
        <f t="shared" si="16"/>
        <v>432</v>
      </c>
      <c r="J82" s="340"/>
      <c r="K82" s="340"/>
      <c r="L82" s="340"/>
      <c r="M82" s="34"/>
      <c r="O82" s="34"/>
      <c r="P82" s="34"/>
      <c r="Q82" s="34"/>
      <c r="R82" s="34"/>
      <c r="S82" s="34"/>
    </row>
    <row r="83" spans="1:19" x14ac:dyDescent="0.25">
      <c r="A83" s="31" t="s">
        <v>391</v>
      </c>
      <c r="B83" s="19">
        <v>2</v>
      </c>
      <c r="C83" s="33">
        <v>1302</v>
      </c>
      <c r="D83" s="20">
        <f t="shared" si="15"/>
        <v>2604</v>
      </c>
      <c r="E83" s="24"/>
      <c r="F83" s="18">
        <v>10</v>
      </c>
      <c r="G83" s="18" t="s">
        <v>338</v>
      </c>
      <c r="H83" s="20">
        <f t="shared" si="16"/>
        <v>260.39999999999998</v>
      </c>
      <c r="J83" s="340"/>
      <c r="K83" s="340"/>
      <c r="L83" s="340"/>
      <c r="M83" s="34"/>
      <c r="O83" s="34"/>
      <c r="P83" s="34"/>
      <c r="Q83" s="34"/>
      <c r="R83" s="34"/>
      <c r="S83" s="34"/>
    </row>
    <row r="84" spans="1:19" x14ac:dyDescent="0.25">
      <c r="A84" s="342" t="s">
        <v>114</v>
      </c>
      <c r="B84" s="343"/>
      <c r="C84" s="343"/>
      <c r="D84" s="328">
        <f>SUM(D74:D83)</f>
        <v>46055</v>
      </c>
      <c r="E84" s="329"/>
      <c r="F84" s="330"/>
      <c r="G84" s="331"/>
      <c r="H84" s="332">
        <f>SUM(H74:H83)</f>
        <v>4605.5</v>
      </c>
      <c r="J84" s="342"/>
      <c r="K84" s="343"/>
      <c r="L84" s="344"/>
      <c r="M84" s="332">
        <f>SUM(M74:M83)</f>
        <v>930.84</v>
      </c>
      <c r="O84" s="333"/>
      <c r="P84" s="334"/>
      <c r="Q84" s="334"/>
      <c r="R84" s="328">
        <f>SUM(R74:R83)</f>
        <v>11635.5</v>
      </c>
      <c r="S84" s="334"/>
    </row>
    <row r="85" spans="1:19" x14ac:dyDescent="0.25">
      <c r="A85" s="321" t="s">
        <v>392</v>
      </c>
      <c r="B85" s="321"/>
      <c r="C85" s="346"/>
      <c r="D85" s="321"/>
      <c r="E85" s="337"/>
      <c r="F85" s="321"/>
      <c r="G85" s="321"/>
      <c r="H85" s="321"/>
      <c r="J85" s="335"/>
      <c r="K85" s="335"/>
      <c r="L85" s="335"/>
      <c r="M85" s="292"/>
      <c r="O85" s="338"/>
      <c r="P85" s="339"/>
      <c r="Q85" s="339"/>
      <c r="R85" s="339"/>
      <c r="S85" s="339"/>
    </row>
    <row r="86" spans="1:19" x14ac:dyDescent="0.25">
      <c r="A86" s="31" t="s">
        <v>393</v>
      </c>
      <c r="B86" s="18">
        <v>2</v>
      </c>
      <c r="C86" s="33">
        <v>1100.8499999999999</v>
      </c>
      <c r="D86" s="20">
        <f>C86*B86</f>
        <v>2201.6999999999998</v>
      </c>
      <c r="E86" s="24"/>
      <c r="F86" s="18">
        <v>10</v>
      </c>
      <c r="G86" s="18" t="s">
        <v>338</v>
      </c>
      <c r="H86" s="20">
        <f>IFERROR(D86/F86,0)</f>
        <v>220.17</v>
      </c>
      <c r="J86" s="340"/>
      <c r="K86" s="340"/>
      <c r="L86" s="340"/>
      <c r="M86" s="34"/>
      <c r="O86" s="18">
        <v>5</v>
      </c>
      <c r="P86" s="322">
        <f>IF(D86*(1-O86/F86)&gt;0,D86*(1-O86/F86),0)</f>
        <v>1100.8499999999999</v>
      </c>
      <c r="Q86" s="323">
        <v>0.5</v>
      </c>
      <c r="R86" s="322">
        <f>Q86*D86</f>
        <v>1100.8499999999999</v>
      </c>
      <c r="S86" s="324">
        <f>(R86-P86)*(1-$D$1)</f>
        <v>0</v>
      </c>
    </row>
    <row r="87" spans="1:19" x14ac:dyDescent="0.25">
      <c r="A87" s="31" t="s">
        <v>394</v>
      </c>
      <c r="B87" s="18">
        <v>1</v>
      </c>
      <c r="C87" s="33">
        <v>677.12</v>
      </c>
      <c r="D87" s="20">
        <f>C87*B87</f>
        <v>677.12</v>
      </c>
      <c r="E87" s="24"/>
      <c r="F87" s="18">
        <v>10</v>
      </c>
      <c r="G87" s="18" t="s">
        <v>338</v>
      </c>
      <c r="H87" s="20">
        <f>IFERROR(D87/F87,0)</f>
        <v>67.712000000000003</v>
      </c>
      <c r="J87" s="340"/>
      <c r="K87" s="340"/>
      <c r="L87" s="340"/>
      <c r="M87" s="34"/>
      <c r="O87" s="18">
        <v>5</v>
      </c>
      <c r="P87" s="322">
        <f>IF(D87*(1-O87/F87)&gt;0,D87*(1-O87/F87),0)</f>
        <v>338.56</v>
      </c>
      <c r="Q87" s="323">
        <v>0.5</v>
      </c>
      <c r="R87" s="322">
        <f>Q87*D87</f>
        <v>338.56</v>
      </c>
      <c r="S87" s="324">
        <f>(R87-P87)*(1-$D$1)</f>
        <v>0</v>
      </c>
    </row>
    <row r="88" spans="1:19" x14ac:dyDescent="0.25">
      <c r="A88" s="31" t="s">
        <v>395</v>
      </c>
      <c r="B88" s="18">
        <v>8</v>
      </c>
      <c r="C88" s="33">
        <v>558.47</v>
      </c>
      <c r="D88" s="20">
        <f>C88*B88</f>
        <v>4467.76</v>
      </c>
      <c r="E88" s="24"/>
      <c r="F88" s="18">
        <v>10</v>
      </c>
      <c r="G88" s="18" t="s">
        <v>338</v>
      </c>
      <c r="H88" s="20">
        <f>IFERROR(D88/F88,0)</f>
        <v>446.77600000000001</v>
      </c>
      <c r="J88" s="340"/>
      <c r="K88" s="340"/>
      <c r="L88" s="340"/>
      <c r="M88" s="34"/>
      <c r="O88" s="18">
        <v>5</v>
      </c>
      <c r="P88" s="322">
        <f>IF(D88*(1-O88/F88)&gt;0,D88*(1-O88/F88),0)</f>
        <v>2233.88</v>
      </c>
      <c r="Q88" s="323">
        <v>0.5</v>
      </c>
      <c r="R88" s="322">
        <f>Q88*D88</f>
        <v>2233.88</v>
      </c>
      <c r="S88" s="324">
        <f>(R88-P88)*(1-$D$1)</f>
        <v>0</v>
      </c>
    </row>
    <row r="89" spans="1:19" x14ac:dyDescent="0.25">
      <c r="A89" s="31" t="s">
        <v>655</v>
      </c>
      <c r="B89" s="18">
        <v>3</v>
      </c>
      <c r="C89" s="20">
        <v>983</v>
      </c>
      <c r="D89" s="20">
        <f>C89*B89</f>
        <v>2949</v>
      </c>
      <c r="E89" s="24"/>
      <c r="F89" s="18">
        <v>10</v>
      </c>
      <c r="G89" s="18" t="s">
        <v>338</v>
      </c>
      <c r="H89" s="20">
        <f>IFERROR(D89/F89,0)</f>
        <v>294.89999999999998</v>
      </c>
      <c r="J89" s="356"/>
      <c r="K89" s="357"/>
      <c r="L89" s="358"/>
      <c r="M89" s="34"/>
      <c r="O89" s="18"/>
      <c r="P89" s="322"/>
      <c r="Q89" s="323"/>
      <c r="R89" s="322"/>
      <c r="S89" s="324"/>
    </row>
    <row r="90" spans="1:19" x14ac:dyDescent="0.25">
      <c r="A90" s="342" t="s">
        <v>114</v>
      </c>
      <c r="B90" s="343"/>
      <c r="C90" s="343"/>
      <c r="D90" s="328">
        <f>SUM(D86:D89)</f>
        <v>10295.58</v>
      </c>
      <c r="E90" s="329"/>
      <c r="F90" s="330"/>
      <c r="G90" s="331"/>
      <c r="H90" s="332">
        <f>SUM(H86:H89)</f>
        <v>1029.558</v>
      </c>
      <c r="J90" s="342"/>
      <c r="K90" s="343"/>
      <c r="L90" s="344"/>
      <c r="M90" s="351"/>
      <c r="O90" s="333"/>
      <c r="P90" s="334"/>
      <c r="Q90" s="334"/>
      <c r="R90" s="328">
        <f>SUM(R86:R88)</f>
        <v>3673.29</v>
      </c>
      <c r="S90" s="334"/>
    </row>
    <row r="91" spans="1:19" x14ac:dyDescent="0.25">
      <c r="A91" s="321" t="s">
        <v>396</v>
      </c>
      <c r="B91" s="321"/>
      <c r="C91" s="346"/>
      <c r="D91" s="321"/>
      <c r="E91" s="337"/>
      <c r="F91" s="321"/>
      <c r="G91" s="321"/>
      <c r="H91" s="321"/>
      <c r="J91" s="335"/>
      <c r="K91" s="335"/>
      <c r="L91" s="335"/>
      <c r="M91" s="292"/>
      <c r="O91" s="338"/>
      <c r="P91" s="339"/>
      <c r="Q91" s="339"/>
      <c r="R91" s="339"/>
      <c r="S91" s="339"/>
    </row>
    <row r="92" spans="1:19" x14ac:dyDescent="0.25">
      <c r="A92" s="30" t="s">
        <v>397</v>
      </c>
      <c r="B92" s="18">
        <v>1</v>
      </c>
      <c r="C92" s="33">
        <v>195.76</v>
      </c>
      <c r="D92" s="20">
        <f>C92*B92</f>
        <v>195.76</v>
      </c>
      <c r="E92" s="24"/>
      <c r="F92" s="18">
        <v>4</v>
      </c>
      <c r="G92" s="18" t="s">
        <v>338</v>
      </c>
      <c r="H92" s="20">
        <f>IFERROR(D92/F92,0)</f>
        <v>48.94</v>
      </c>
      <c r="J92" s="340"/>
      <c r="K92" s="340"/>
      <c r="L92" s="340"/>
      <c r="M92" s="34"/>
      <c r="O92" s="18"/>
      <c r="P92" s="18"/>
      <c r="Q92" s="18"/>
      <c r="R92" s="18"/>
      <c r="S92" s="18"/>
    </row>
    <row r="93" spans="1:19" x14ac:dyDescent="0.25">
      <c r="A93" s="30" t="s">
        <v>398</v>
      </c>
      <c r="B93" s="18">
        <v>1</v>
      </c>
      <c r="C93" s="33">
        <f>517.37*12</f>
        <v>6208.4400000000005</v>
      </c>
      <c r="D93" s="20">
        <f>C93*B93</f>
        <v>6208.4400000000005</v>
      </c>
      <c r="E93" s="24"/>
      <c r="F93" s="18">
        <v>4</v>
      </c>
      <c r="G93" s="18" t="s">
        <v>338</v>
      </c>
      <c r="H93" s="20">
        <f>IFERROR(D93/F93,0)</f>
        <v>1552.1100000000001</v>
      </c>
      <c r="J93" s="340"/>
      <c r="K93" s="340"/>
      <c r="L93" s="340"/>
      <c r="M93" s="34"/>
      <c r="O93" s="18"/>
      <c r="P93" s="18"/>
      <c r="Q93" s="18"/>
      <c r="R93" s="18"/>
      <c r="S93" s="18"/>
    </row>
    <row r="94" spans="1:19" x14ac:dyDescent="0.25">
      <c r="A94" s="342" t="s">
        <v>114</v>
      </c>
      <c r="B94" s="343"/>
      <c r="C94" s="343"/>
      <c r="D94" s="328">
        <f>SUM(D91:D93)</f>
        <v>6404.2000000000007</v>
      </c>
      <c r="E94" s="329"/>
      <c r="F94" s="330"/>
      <c r="G94" s="331"/>
      <c r="H94" s="332">
        <f>SUM(H91:H93)</f>
        <v>1601.0500000000002</v>
      </c>
      <c r="J94" s="342"/>
      <c r="K94" s="343"/>
      <c r="L94" s="344"/>
      <c r="M94" s="351"/>
      <c r="O94" s="333"/>
      <c r="P94" s="334"/>
      <c r="Q94" s="334"/>
      <c r="R94" s="334"/>
      <c r="S94" s="334"/>
    </row>
    <row r="95" spans="1:19" x14ac:dyDescent="0.25">
      <c r="E95" s="315"/>
      <c r="O95" s="359"/>
      <c r="P95" s="313"/>
      <c r="Q95" s="313"/>
      <c r="R95" s="313"/>
      <c r="S95" s="313"/>
    </row>
    <row r="96" spans="1:19" x14ac:dyDescent="0.25">
      <c r="E96" s="315"/>
    </row>
    <row r="97" spans="1:12" x14ac:dyDescent="0.25">
      <c r="E97" s="315"/>
    </row>
    <row r="98" spans="1:12" x14ac:dyDescent="0.25">
      <c r="C98" s="360"/>
      <c r="E98" s="315"/>
    </row>
    <row r="99" spans="1:12" x14ac:dyDescent="0.25">
      <c r="A99" s="335" t="s">
        <v>519</v>
      </c>
      <c r="B99" s="717" t="s">
        <v>514</v>
      </c>
      <c r="C99" s="717"/>
      <c r="D99" s="717"/>
      <c r="E99" s="717"/>
      <c r="F99" s="717"/>
      <c r="G99" s="717"/>
      <c r="H99" s="717"/>
      <c r="I99" s="717"/>
      <c r="J99" s="717"/>
      <c r="K99" s="717"/>
      <c r="L99" s="717"/>
    </row>
    <row r="100" spans="1:12" x14ac:dyDescent="0.25">
      <c r="A100" s="335" t="s">
        <v>178</v>
      </c>
      <c r="B100" s="292">
        <v>0</v>
      </c>
      <c r="C100" s="292">
        <f t="shared" ref="C100:L100" si="17">+B100+1</f>
        <v>1</v>
      </c>
      <c r="D100" s="292">
        <f t="shared" si="17"/>
        <v>2</v>
      </c>
      <c r="E100" s="292">
        <f t="shared" si="17"/>
        <v>3</v>
      </c>
      <c r="F100" s="292">
        <f t="shared" si="17"/>
        <v>4</v>
      </c>
      <c r="G100" s="292">
        <f t="shared" si="17"/>
        <v>5</v>
      </c>
      <c r="H100" s="292">
        <f t="shared" si="17"/>
        <v>6</v>
      </c>
      <c r="I100" s="292">
        <f t="shared" si="17"/>
        <v>7</v>
      </c>
      <c r="J100" s="292">
        <f t="shared" si="17"/>
        <v>8</v>
      </c>
      <c r="K100" s="292">
        <f t="shared" si="17"/>
        <v>9</v>
      </c>
      <c r="L100" s="292">
        <f t="shared" si="17"/>
        <v>10</v>
      </c>
    </row>
    <row r="101" spans="1:12" x14ac:dyDescent="0.25">
      <c r="A101" s="361" t="s">
        <v>466</v>
      </c>
      <c r="B101" s="362">
        <f>$D$18</f>
        <v>114556.2</v>
      </c>
      <c r="C101" s="230"/>
      <c r="D101" s="230"/>
      <c r="E101" s="230"/>
      <c r="F101" s="230"/>
      <c r="G101" s="230">
        <f>$D$18+'PRE-OPERATIVO'!E40</f>
        <v>122806.2</v>
      </c>
      <c r="H101" s="230"/>
      <c r="I101" s="230"/>
      <c r="J101" s="230"/>
      <c r="K101" s="230"/>
      <c r="L101" s="363"/>
    </row>
    <row r="102" spans="1:12" x14ac:dyDescent="0.25">
      <c r="A102" s="361" t="s">
        <v>349</v>
      </c>
      <c r="B102" s="364">
        <f>$D$28</f>
        <v>10317.6</v>
      </c>
      <c r="C102" s="24"/>
      <c r="D102" s="24"/>
      <c r="E102" s="24"/>
      <c r="F102" s="24"/>
      <c r="G102" s="24">
        <f>$D$28</f>
        <v>10317.6</v>
      </c>
      <c r="H102" s="24"/>
      <c r="I102" s="24"/>
      <c r="J102" s="24"/>
      <c r="K102" s="24"/>
      <c r="L102" s="365"/>
    </row>
    <row r="103" spans="1:12" x14ac:dyDescent="0.25">
      <c r="A103" s="361" t="s">
        <v>358</v>
      </c>
      <c r="B103" s="364">
        <f>$D$40</f>
        <v>12547.065000000001</v>
      </c>
      <c r="C103" s="24"/>
      <c r="D103" s="24"/>
      <c r="E103" s="24"/>
      <c r="F103" s="24"/>
      <c r="G103" s="24">
        <f>$D$40</f>
        <v>12547.065000000001</v>
      </c>
      <c r="H103" s="24"/>
      <c r="I103" s="24"/>
      <c r="J103" s="24"/>
      <c r="K103" s="24"/>
      <c r="L103" s="365"/>
    </row>
    <row r="104" spans="1:12" x14ac:dyDescent="0.25">
      <c r="A104" s="361" t="s">
        <v>471</v>
      </c>
      <c r="B104" s="364">
        <f>$D$51</f>
        <v>23285.29</v>
      </c>
      <c r="C104" s="24"/>
      <c r="D104" s="24"/>
      <c r="E104" s="24"/>
      <c r="F104" s="24"/>
      <c r="G104" s="24">
        <f>$D$51</f>
        <v>23285.29</v>
      </c>
      <c r="H104" s="24"/>
      <c r="I104" s="24"/>
      <c r="J104" s="24"/>
      <c r="K104" s="24"/>
      <c r="L104" s="365"/>
    </row>
    <row r="105" spans="1:12" x14ac:dyDescent="0.25">
      <c r="A105" s="361" t="s">
        <v>367</v>
      </c>
      <c r="B105" s="364">
        <f>$D$67</f>
        <v>14758.179999999998</v>
      </c>
      <c r="C105" s="24"/>
      <c r="D105" s="24"/>
      <c r="E105" s="24"/>
      <c r="F105" s="24"/>
      <c r="G105" s="24">
        <f>$D$67</f>
        <v>14758.179999999998</v>
      </c>
      <c r="H105" s="24"/>
      <c r="I105" s="24"/>
      <c r="J105" s="24"/>
      <c r="K105" s="24"/>
      <c r="L105" s="365"/>
    </row>
    <row r="106" spans="1:12" x14ac:dyDescent="0.25">
      <c r="A106" s="361" t="s">
        <v>380</v>
      </c>
      <c r="B106" s="364">
        <f>$D$72</f>
        <v>9841</v>
      </c>
      <c r="C106" s="24"/>
      <c r="D106" s="24"/>
      <c r="E106" s="24"/>
      <c r="F106" s="24"/>
      <c r="G106" s="24">
        <f>$D$72</f>
        <v>9841</v>
      </c>
      <c r="H106" s="24"/>
      <c r="I106" s="24"/>
      <c r="J106" s="24"/>
      <c r="K106" s="24"/>
      <c r="L106" s="365"/>
    </row>
    <row r="107" spans="1:12" x14ac:dyDescent="0.25">
      <c r="A107" s="361" t="s">
        <v>382</v>
      </c>
      <c r="B107" s="364">
        <f>$D$84</f>
        <v>46055</v>
      </c>
      <c r="C107" s="24"/>
      <c r="D107" s="24"/>
      <c r="E107" s="24"/>
      <c r="F107" s="24"/>
      <c r="G107" s="24">
        <f>$D$84</f>
        <v>46055</v>
      </c>
      <c r="H107" s="24"/>
      <c r="I107" s="24"/>
      <c r="J107" s="24"/>
      <c r="K107" s="24"/>
      <c r="L107" s="365"/>
    </row>
    <row r="108" spans="1:12" x14ac:dyDescent="0.25">
      <c r="A108" s="361" t="s">
        <v>392</v>
      </c>
      <c r="B108" s="364">
        <f>$D$90</f>
        <v>10295.58</v>
      </c>
      <c r="C108" s="24"/>
      <c r="D108" s="24"/>
      <c r="E108" s="24"/>
      <c r="F108" s="24"/>
      <c r="G108" s="24">
        <f>$D$90</f>
        <v>10295.58</v>
      </c>
      <c r="H108" s="24"/>
      <c r="I108" s="24"/>
      <c r="J108" s="24"/>
      <c r="K108" s="24"/>
      <c r="L108" s="365"/>
    </row>
    <row r="109" spans="1:12" x14ac:dyDescent="0.25">
      <c r="A109" s="366" t="s">
        <v>396</v>
      </c>
      <c r="B109" s="364">
        <f>$D$94</f>
        <v>6404.2000000000007</v>
      </c>
      <c r="C109" s="24"/>
      <c r="D109" s="24"/>
      <c r="E109" s="24"/>
      <c r="F109" s="24"/>
      <c r="G109" s="24">
        <f>$D$94</f>
        <v>6404.2000000000007</v>
      </c>
      <c r="H109" s="24"/>
      <c r="I109" s="24"/>
      <c r="J109" s="24"/>
      <c r="K109" s="24"/>
      <c r="L109" s="365"/>
    </row>
    <row r="110" spans="1:12" x14ac:dyDescent="0.25">
      <c r="A110" s="367" t="s">
        <v>518</v>
      </c>
      <c r="B110" s="330">
        <f>SUM(B101:B109)</f>
        <v>248060.11499999999</v>
      </c>
      <c r="C110" s="368">
        <f>SUM(C101:C109)</f>
        <v>0</v>
      </c>
      <c r="D110" s="368">
        <f>SUM(D101:D109)</f>
        <v>0</v>
      </c>
      <c r="E110" s="368">
        <f t="shared" ref="E110:L110" si="18">SUM(E101:E109)</f>
        <v>0</v>
      </c>
      <c r="F110" s="368">
        <f t="shared" si="18"/>
        <v>0</v>
      </c>
      <c r="G110" s="368">
        <f t="shared" si="18"/>
        <v>256310.11499999999</v>
      </c>
      <c r="H110" s="368">
        <f t="shared" si="18"/>
        <v>0</v>
      </c>
      <c r="I110" s="368">
        <f t="shared" si="18"/>
        <v>0</v>
      </c>
      <c r="J110" s="368">
        <f t="shared" si="18"/>
        <v>0</v>
      </c>
      <c r="K110" s="368">
        <f t="shared" si="18"/>
        <v>0</v>
      </c>
      <c r="L110" s="369">
        <f t="shared" si="18"/>
        <v>0</v>
      </c>
    </row>
    <row r="113" spans="1:14" x14ac:dyDescent="0.25">
      <c r="M113" s="163"/>
      <c r="N113" s="315"/>
    </row>
    <row r="114" spans="1:14" x14ac:dyDescent="0.25">
      <c r="A114" s="335" t="s">
        <v>515</v>
      </c>
      <c r="B114" s="717" t="s">
        <v>514</v>
      </c>
      <c r="C114" s="717"/>
      <c r="D114" s="717"/>
      <c r="E114" s="717"/>
      <c r="F114" s="717"/>
      <c r="G114" s="717"/>
      <c r="H114" s="717"/>
      <c r="I114" s="717"/>
      <c r="J114" s="717"/>
      <c r="K114" s="717"/>
      <c r="L114" s="717"/>
      <c r="M114" s="370"/>
      <c r="N114" s="315"/>
    </row>
    <row r="115" spans="1:14" x14ac:dyDescent="0.25">
      <c r="A115" s="335" t="s">
        <v>178</v>
      </c>
      <c r="B115" s="371">
        <v>0</v>
      </c>
      <c r="C115" s="292">
        <f t="shared" ref="C115:L115" si="19">+B115+1</f>
        <v>1</v>
      </c>
      <c r="D115" s="292">
        <f t="shared" si="19"/>
        <v>2</v>
      </c>
      <c r="E115" s="292">
        <f t="shared" si="19"/>
        <v>3</v>
      </c>
      <c r="F115" s="292">
        <f t="shared" si="19"/>
        <v>4</v>
      </c>
      <c r="G115" s="292">
        <f t="shared" si="19"/>
        <v>5</v>
      </c>
      <c r="H115" s="292">
        <f t="shared" si="19"/>
        <v>6</v>
      </c>
      <c r="I115" s="292">
        <f t="shared" si="19"/>
        <v>7</v>
      </c>
      <c r="J115" s="292">
        <f t="shared" si="19"/>
        <v>8</v>
      </c>
      <c r="K115" s="292">
        <f t="shared" si="19"/>
        <v>9</v>
      </c>
      <c r="L115" s="292">
        <f t="shared" si="19"/>
        <v>10</v>
      </c>
      <c r="M115" s="315"/>
      <c r="N115" s="315"/>
    </row>
    <row r="116" spans="1:14" x14ac:dyDescent="0.25">
      <c r="A116" s="361" t="s">
        <v>466</v>
      </c>
      <c r="B116" s="163"/>
      <c r="C116" s="230">
        <f>$H$18</f>
        <v>11455.620000000003</v>
      </c>
      <c r="D116" s="230">
        <f t="shared" ref="D116:L116" si="20">$H$18</f>
        <v>11455.620000000003</v>
      </c>
      <c r="E116" s="230">
        <f t="shared" si="20"/>
        <v>11455.620000000003</v>
      </c>
      <c r="F116" s="230">
        <f t="shared" si="20"/>
        <v>11455.620000000003</v>
      </c>
      <c r="G116" s="230">
        <f t="shared" si="20"/>
        <v>11455.620000000003</v>
      </c>
      <c r="H116" s="230">
        <f t="shared" si="20"/>
        <v>11455.620000000003</v>
      </c>
      <c r="I116" s="230">
        <f t="shared" si="20"/>
        <v>11455.620000000003</v>
      </c>
      <c r="J116" s="230">
        <f t="shared" si="20"/>
        <v>11455.620000000003</v>
      </c>
      <c r="K116" s="230">
        <f t="shared" si="20"/>
        <v>11455.620000000003</v>
      </c>
      <c r="L116" s="372">
        <f t="shared" si="20"/>
        <v>11455.620000000003</v>
      </c>
      <c r="M116" s="373"/>
      <c r="N116" s="315"/>
    </row>
    <row r="117" spans="1:14" x14ac:dyDescent="0.25">
      <c r="A117" s="361" t="s">
        <v>349</v>
      </c>
      <c r="B117" s="163"/>
      <c r="C117" s="230">
        <f>$H$28</f>
        <v>1031.76</v>
      </c>
      <c r="D117" s="230">
        <f t="shared" ref="D117:L117" si="21">$H$28</f>
        <v>1031.76</v>
      </c>
      <c r="E117" s="230">
        <f t="shared" si="21"/>
        <v>1031.76</v>
      </c>
      <c r="F117" s="230">
        <f t="shared" si="21"/>
        <v>1031.76</v>
      </c>
      <c r="G117" s="230">
        <f t="shared" si="21"/>
        <v>1031.76</v>
      </c>
      <c r="H117" s="230">
        <f t="shared" si="21"/>
        <v>1031.76</v>
      </c>
      <c r="I117" s="230">
        <f t="shared" si="21"/>
        <v>1031.76</v>
      </c>
      <c r="J117" s="230">
        <f t="shared" si="21"/>
        <v>1031.76</v>
      </c>
      <c r="K117" s="230">
        <f t="shared" si="21"/>
        <v>1031.76</v>
      </c>
      <c r="L117" s="363">
        <f t="shared" si="21"/>
        <v>1031.76</v>
      </c>
      <c r="M117" s="373"/>
      <c r="N117" s="315"/>
    </row>
    <row r="118" spans="1:14" x14ac:dyDescent="0.25">
      <c r="A118" s="361" t="s">
        <v>358</v>
      </c>
      <c r="B118" s="163"/>
      <c r="C118" s="230">
        <f>$H$40</f>
        <v>1254.7064999999998</v>
      </c>
      <c r="D118" s="230">
        <f t="shared" ref="D118:L118" si="22">$H$40</f>
        <v>1254.7064999999998</v>
      </c>
      <c r="E118" s="230">
        <f t="shared" si="22"/>
        <v>1254.7064999999998</v>
      </c>
      <c r="F118" s="230">
        <f t="shared" si="22"/>
        <v>1254.7064999999998</v>
      </c>
      <c r="G118" s="230">
        <f t="shared" si="22"/>
        <v>1254.7064999999998</v>
      </c>
      <c r="H118" s="230">
        <f t="shared" si="22"/>
        <v>1254.7064999999998</v>
      </c>
      <c r="I118" s="230">
        <f t="shared" si="22"/>
        <v>1254.7064999999998</v>
      </c>
      <c r="J118" s="230">
        <f t="shared" si="22"/>
        <v>1254.7064999999998</v>
      </c>
      <c r="K118" s="230">
        <f t="shared" si="22"/>
        <v>1254.7064999999998</v>
      </c>
      <c r="L118" s="363">
        <f t="shared" si="22"/>
        <v>1254.7064999999998</v>
      </c>
      <c r="M118" s="373"/>
      <c r="N118" s="315"/>
    </row>
    <row r="119" spans="1:14" x14ac:dyDescent="0.25">
      <c r="A119" s="361" t="s">
        <v>471</v>
      </c>
      <c r="B119" s="163"/>
      <c r="C119" s="230">
        <f>$H$51</f>
        <v>2328.529</v>
      </c>
      <c r="D119" s="230">
        <f t="shared" ref="D119:L119" si="23">$H$51</f>
        <v>2328.529</v>
      </c>
      <c r="E119" s="230">
        <f t="shared" si="23"/>
        <v>2328.529</v>
      </c>
      <c r="F119" s="230">
        <f t="shared" si="23"/>
        <v>2328.529</v>
      </c>
      <c r="G119" s="230">
        <f t="shared" si="23"/>
        <v>2328.529</v>
      </c>
      <c r="H119" s="230">
        <f t="shared" si="23"/>
        <v>2328.529</v>
      </c>
      <c r="I119" s="230">
        <f t="shared" si="23"/>
        <v>2328.529</v>
      </c>
      <c r="J119" s="230">
        <f t="shared" si="23"/>
        <v>2328.529</v>
      </c>
      <c r="K119" s="230">
        <f t="shared" si="23"/>
        <v>2328.529</v>
      </c>
      <c r="L119" s="363">
        <f t="shared" si="23"/>
        <v>2328.529</v>
      </c>
      <c r="M119" s="373"/>
      <c r="N119" s="315"/>
    </row>
    <row r="120" spans="1:14" x14ac:dyDescent="0.25">
      <c r="A120" s="361" t="s">
        <v>367</v>
      </c>
      <c r="B120" s="163"/>
      <c r="C120" s="230">
        <f>$H$67</f>
        <v>1475.818</v>
      </c>
      <c r="D120" s="230">
        <f t="shared" ref="D120:L120" si="24">$H$67</f>
        <v>1475.818</v>
      </c>
      <c r="E120" s="230">
        <f t="shared" si="24"/>
        <v>1475.818</v>
      </c>
      <c r="F120" s="230">
        <f t="shared" si="24"/>
        <v>1475.818</v>
      </c>
      <c r="G120" s="230">
        <f t="shared" si="24"/>
        <v>1475.818</v>
      </c>
      <c r="H120" s="230">
        <f t="shared" si="24"/>
        <v>1475.818</v>
      </c>
      <c r="I120" s="230">
        <f t="shared" si="24"/>
        <v>1475.818</v>
      </c>
      <c r="J120" s="230">
        <f t="shared" si="24"/>
        <v>1475.818</v>
      </c>
      <c r="K120" s="230">
        <f t="shared" si="24"/>
        <v>1475.818</v>
      </c>
      <c r="L120" s="363">
        <f t="shared" si="24"/>
        <v>1475.818</v>
      </c>
      <c r="M120" s="373"/>
      <c r="N120" s="315"/>
    </row>
    <row r="121" spans="1:14" x14ac:dyDescent="0.25">
      <c r="A121" s="361" t="s">
        <v>380</v>
      </c>
      <c r="B121" s="163"/>
      <c r="C121" s="230">
        <f>$H$72</f>
        <v>984.1</v>
      </c>
      <c r="D121" s="230">
        <f t="shared" ref="D121:L121" si="25">$H$72</f>
        <v>984.1</v>
      </c>
      <c r="E121" s="230">
        <f t="shared" si="25"/>
        <v>984.1</v>
      </c>
      <c r="F121" s="230">
        <f t="shared" si="25"/>
        <v>984.1</v>
      </c>
      <c r="G121" s="230">
        <f t="shared" si="25"/>
        <v>984.1</v>
      </c>
      <c r="H121" s="230">
        <f t="shared" si="25"/>
        <v>984.1</v>
      </c>
      <c r="I121" s="230">
        <f t="shared" si="25"/>
        <v>984.1</v>
      </c>
      <c r="J121" s="230">
        <f t="shared" si="25"/>
        <v>984.1</v>
      </c>
      <c r="K121" s="230">
        <f t="shared" si="25"/>
        <v>984.1</v>
      </c>
      <c r="L121" s="363">
        <f t="shared" si="25"/>
        <v>984.1</v>
      </c>
      <c r="M121" s="373"/>
      <c r="N121" s="315"/>
    </row>
    <row r="122" spans="1:14" x14ac:dyDescent="0.25">
      <c r="A122" s="361" t="s">
        <v>382</v>
      </c>
      <c r="B122" s="163"/>
      <c r="C122" s="230">
        <f>$H$84</f>
        <v>4605.5</v>
      </c>
      <c r="D122" s="230">
        <f t="shared" ref="D122:L122" si="26">$H$84</f>
        <v>4605.5</v>
      </c>
      <c r="E122" s="230">
        <f t="shared" si="26"/>
        <v>4605.5</v>
      </c>
      <c r="F122" s="230">
        <f t="shared" si="26"/>
        <v>4605.5</v>
      </c>
      <c r="G122" s="230">
        <f t="shared" si="26"/>
        <v>4605.5</v>
      </c>
      <c r="H122" s="230">
        <f t="shared" si="26"/>
        <v>4605.5</v>
      </c>
      <c r="I122" s="230">
        <f t="shared" si="26"/>
        <v>4605.5</v>
      </c>
      <c r="J122" s="230">
        <f t="shared" si="26"/>
        <v>4605.5</v>
      </c>
      <c r="K122" s="230">
        <f t="shared" si="26"/>
        <v>4605.5</v>
      </c>
      <c r="L122" s="363">
        <f t="shared" si="26"/>
        <v>4605.5</v>
      </c>
      <c r="M122" s="373"/>
      <c r="N122" s="315"/>
    </row>
    <row r="123" spans="1:14" x14ac:dyDescent="0.25">
      <c r="A123" s="361" t="s">
        <v>392</v>
      </c>
      <c r="B123" s="163"/>
      <c r="C123" s="230">
        <f>$H$90</f>
        <v>1029.558</v>
      </c>
      <c r="D123" s="230">
        <f t="shared" ref="D123:L123" si="27">$H$90</f>
        <v>1029.558</v>
      </c>
      <c r="E123" s="230">
        <f t="shared" si="27"/>
        <v>1029.558</v>
      </c>
      <c r="F123" s="230">
        <f t="shared" si="27"/>
        <v>1029.558</v>
      </c>
      <c r="G123" s="230">
        <f t="shared" si="27"/>
        <v>1029.558</v>
      </c>
      <c r="H123" s="230">
        <f t="shared" si="27"/>
        <v>1029.558</v>
      </c>
      <c r="I123" s="230">
        <f t="shared" si="27"/>
        <v>1029.558</v>
      </c>
      <c r="J123" s="230">
        <f t="shared" si="27"/>
        <v>1029.558</v>
      </c>
      <c r="K123" s="230">
        <f t="shared" si="27"/>
        <v>1029.558</v>
      </c>
      <c r="L123" s="363">
        <f t="shared" si="27"/>
        <v>1029.558</v>
      </c>
      <c r="M123" s="373"/>
      <c r="N123" s="315"/>
    </row>
    <row r="124" spans="1:14" x14ac:dyDescent="0.25">
      <c r="A124" s="366" t="s">
        <v>396</v>
      </c>
      <c r="B124" s="163"/>
      <c r="C124" s="230">
        <f>$H$94</f>
        <v>1601.0500000000002</v>
      </c>
      <c r="D124" s="230">
        <f>$H$94</f>
        <v>1601.0500000000002</v>
      </c>
      <c r="E124" s="230">
        <f>$H$94</f>
        <v>1601.0500000000002</v>
      </c>
      <c r="F124" s="230">
        <f>$H$94</f>
        <v>1601.0500000000002</v>
      </c>
      <c r="G124" s="230"/>
      <c r="H124" s="230">
        <f>$H$94</f>
        <v>1601.0500000000002</v>
      </c>
      <c r="I124" s="230">
        <f>$H$94</f>
        <v>1601.0500000000002</v>
      </c>
      <c r="J124" s="230">
        <f>$H$94</f>
        <v>1601.0500000000002</v>
      </c>
      <c r="K124" s="230">
        <f>$H$94</f>
        <v>1601.0500000000002</v>
      </c>
      <c r="L124" s="374"/>
      <c r="M124" s="373"/>
      <c r="N124" s="315"/>
    </row>
    <row r="125" spans="1:14" x14ac:dyDescent="0.25">
      <c r="A125" s="375" t="s">
        <v>470</v>
      </c>
      <c r="B125" s="327"/>
      <c r="C125" s="368">
        <f>SUM(C116:C124)</f>
        <v>25766.641500000002</v>
      </c>
      <c r="D125" s="368">
        <f>SUM(D116:D124)</f>
        <v>25766.641500000002</v>
      </c>
      <c r="E125" s="368">
        <f t="shared" ref="E125:L125" si="28">SUM(E116:E124)</f>
        <v>25766.641500000002</v>
      </c>
      <c r="F125" s="368">
        <f t="shared" si="28"/>
        <v>25766.641500000002</v>
      </c>
      <c r="G125" s="368">
        <f t="shared" si="28"/>
        <v>24165.591500000002</v>
      </c>
      <c r="H125" s="368">
        <f t="shared" si="28"/>
        <v>25766.641500000002</v>
      </c>
      <c r="I125" s="368">
        <f t="shared" si="28"/>
        <v>25766.641500000002</v>
      </c>
      <c r="J125" s="368">
        <f t="shared" si="28"/>
        <v>25766.641500000002</v>
      </c>
      <c r="K125" s="368">
        <f t="shared" si="28"/>
        <v>25766.641500000002</v>
      </c>
      <c r="L125" s="369">
        <f t="shared" si="28"/>
        <v>24165.591500000002</v>
      </c>
      <c r="M125" s="376"/>
      <c r="N125" s="315"/>
    </row>
    <row r="126" spans="1:14" x14ac:dyDescent="0.25">
      <c r="M126" s="163"/>
      <c r="N126" s="315"/>
    </row>
    <row r="127" spans="1:14" x14ac:dyDescent="0.25">
      <c r="A127" s="342" t="s">
        <v>520</v>
      </c>
      <c r="B127" s="344"/>
      <c r="C127" s="186">
        <f>C125/12</f>
        <v>2147.2201250000003</v>
      </c>
    </row>
    <row r="131" spans="1:12" x14ac:dyDescent="0.25">
      <c r="A131" s="335" t="s">
        <v>516</v>
      </c>
      <c r="B131" s="717" t="s">
        <v>514</v>
      </c>
      <c r="C131" s="717"/>
      <c r="D131" s="717"/>
      <c r="E131" s="717"/>
      <c r="F131" s="717"/>
      <c r="G131" s="717"/>
      <c r="H131" s="717"/>
      <c r="I131" s="717"/>
      <c r="J131" s="717"/>
      <c r="K131" s="717"/>
      <c r="L131" s="717"/>
    </row>
    <row r="132" spans="1:12" x14ac:dyDescent="0.25">
      <c r="A132" s="335" t="s">
        <v>178</v>
      </c>
      <c r="B132" s="371">
        <v>0</v>
      </c>
      <c r="C132" s="292">
        <f t="shared" ref="C132:L132" si="29">+B132+1</f>
        <v>1</v>
      </c>
      <c r="D132" s="292">
        <f t="shared" si="29"/>
        <v>2</v>
      </c>
      <c r="E132" s="292">
        <f t="shared" si="29"/>
        <v>3</v>
      </c>
      <c r="F132" s="292">
        <f t="shared" si="29"/>
        <v>4</v>
      </c>
      <c r="G132" s="292">
        <f t="shared" si="29"/>
        <v>5</v>
      </c>
      <c r="H132" s="292">
        <f t="shared" si="29"/>
        <v>6</v>
      </c>
      <c r="I132" s="292">
        <f t="shared" si="29"/>
        <v>7</v>
      </c>
      <c r="J132" s="292">
        <f t="shared" si="29"/>
        <v>8</v>
      </c>
      <c r="K132" s="292">
        <f t="shared" si="29"/>
        <v>9</v>
      </c>
      <c r="L132" s="292">
        <f t="shared" si="29"/>
        <v>10</v>
      </c>
    </row>
    <row r="133" spans="1:12" x14ac:dyDescent="0.25">
      <c r="A133" s="361" t="s">
        <v>466</v>
      </c>
      <c r="B133" s="163"/>
      <c r="C133" s="230">
        <f>$M$18</f>
        <v>4582.2480000000005</v>
      </c>
      <c r="D133" s="230">
        <f t="shared" ref="D133:L133" si="30">$M$18</f>
        <v>4582.2480000000005</v>
      </c>
      <c r="E133" s="230">
        <f t="shared" si="30"/>
        <v>4582.2480000000005</v>
      </c>
      <c r="F133" s="230">
        <f t="shared" si="30"/>
        <v>4582.2480000000005</v>
      </c>
      <c r="G133" s="230">
        <f t="shared" si="30"/>
        <v>4582.2480000000005</v>
      </c>
      <c r="H133" s="230">
        <f t="shared" si="30"/>
        <v>4582.2480000000005</v>
      </c>
      <c r="I133" s="230">
        <f t="shared" si="30"/>
        <v>4582.2480000000005</v>
      </c>
      <c r="J133" s="230">
        <f t="shared" si="30"/>
        <v>4582.2480000000005</v>
      </c>
      <c r="K133" s="230">
        <f t="shared" si="30"/>
        <v>4582.2480000000005</v>
      </c>
      <c r="L133" s="363">
        <f t="shared" si="30"/>
        <v>4582.2480000000005</v>
      </c>
    </row>
    <row r="134" spans="1:12" x14ac:dyDescent="0.25">
      <c r="A134" s="361" t="s">
        <v>349</v>
      </c>
      <c r="B134" s="163"/>
      <c r="C134" s="230" t="s">
        <v>285</v>
      </c>
      <c r="D134" s="230" t="s">
        <v>285</v>
      </c>
      <c r="E134" s="230" t="s">
        <v>285</v>
      </c>
      <c r="F134" s="230" t="s">
        <v>285</v>
      </c>
      <c r="G134" s="230" t="s">
        <v>285</v>
      </c>
      <c r="H134" s="230" t="s">
        <v>285</v>
      </c>
      <c r="I134" s="230" t="s">
        <v>285</v>
      </c>
      <c r="J134" s="230" t="s">
        <v>285</v>
      </c>
      <c r="K134" s="230" t="s">
        <v>285</v>
      </c>
      <c r="L134" s="363" t="s">
        <v>285</v>
      </c>
    </row>
    <row r="135" spans="1:12" x14ac:dyDescent="0.25">
      <c r="A135" s="361" t="s">
        <v>358</v>
      </c>
      <c r="B135" s="163"/>
      <c r="C135" s="230">
        <f>$M$40</f>
        <v>111.68360000000001</v>
      </c>
      <c r="D135" s="230">
        <f t="shared" ref="D135:L135" si="31">$M$40</f>
        <v>111.68360000000001</v>
      </c>
      <c r="E135" s="230">
        <f t="shared" si="31"/>
        <v>111.68360000000001</v>
      </c>
      <c r="F135" s="230">
        <f t="shared" si="31"/>
        <v>111.68360000000001</v>
      </c>
      <c r="G135" s="230">
        <f t="shared" si="31"/>
        <v>111.68360000000001</v>
      </c>
      <c r="H135" s="230">
        <f t="shared" si="31"/>
        <v>111.68360000000001</v>
      </c>
      <c r="I135" s="230">
        <f t="shared" si="31"/>
        <v>111.68360000000001</v>
      </c>
      <c r="J135" s="230">
        <f t="shared" si="31"/>
        <v>111.68360000000001</v>
      </c>
      <c r="K135" s="230">
        <f t="shared" si="31"/>
        <v>111.68360000000001</v>
      </c>
      <c r="L135" s="363">
        <f t="shared" si="31"/>
        <v>111.68360000000001</v>
      </c>
    </row>
    <row r="136" spans="1:12" x14ac:dyDescent="0.25">
      <c r="A136" s="361" t="s">
        <v>471</v>
      </c>
      <c r="B136" s="163"/>
      <c r="C136" s="230" t="s">
        <v>285</v>
      </c>
      <c r="D136" s="230" t="s">
        <v>285</v>
      </c>
      <c r="E136" s="230" t="s">
        <v>285</v>
      </c>
      <c r="F136" s="230" t="s">
        <v>285</v>
      </c>
      <c r="G136" s="230" t="s">
        <v>285</v>
      </c>
      <c r="H136" s="230" t="s">
        <v>285</v>
      </c>
      <c r="I136" s="230" t="s">
        <v>285</v>
      </c>
      <c r="J136" s="230" t="s">
        <v>285</v>
      </c>
      <c r="K136" s="230" t="s">
        <v>285</v>
      </c>
      <c r="L136" s="363" t="s">
        <v>285</v>
      </c>
    </row>
    <row r="137" spans="1:12" x14ac:dyDescent="0.25">
      <c r="A137" s="361" t="s">
        <v>367</v>
      </c>
      <c r="B137" s="163"/>
      <c r="C137" s="230">
        <f>$M$67</f>
        <v>203.3904</v>
      </c>
      <c r="D137" s="230">
        <f t="shared" ref="D137:L137" si="32">$M$67</f>
        <v>203.3904</v>
      </c>
      <c r="E137" s="230">
        <f t="shared" si="32"/>
        <v>203.3904</v>
      </c>
      <c r="F137" s="230">
        <f t="shared" si="32"/>
        <v>203.3904</v>
      </c>
      <c r="G137" s="230">
        <f t="shared" si="32"/>
        <v>203.3904</v>
      </c>
      <c r="H137" s="230">
        <f t="shared" si="32"/>
        <v>203.3904</v>
      </c>
      <c r="I137" s="230">
        <f t="shared" si="32"/>
        <v>203.3904</v>
      </c>
      <c r="J137" s="230">
        <f t="shared" si="32"/>
        <v>203.3904</v>
      </c>
      <c r="K137" s="230">
        <f t="shared" si="32"/>
        <v>203.3904</v>
      </c>
      <c r="L137" s="363">
        <f t="shared" si="32"/>
        <v>203.3904</v>
      </c>
    </row>
    <row r="138" spans="1:12" x14ac:dyDescent="0.25">
      <c r="A138" s="361" t="s">
        <v>380</v>
      </c>
      <c r="B138" s="163"/>
      <c r="C138" s="230">
        <f>$M$72</f>
        <v>393.64000000000004</v>
      </c>
      <c r="D138" s="230">
        <f t="shared" ref="D138:L138" si="33">$M$72</f>
        <v>393.64000000000004</v>
      </c>
      <c r="E138" s="230">
        <f t="shared" si="33"/>
        <v>393.64000000000004</v>
      </c>
      <c r="F138" s="230">
        <f t="shared" si="33"/>
        <v>393.64000000000004</v>
      </c>
      <c r="G138" s="230">
        <f t="shared" si="33"/>
        <v>393.64000000000004</v>
      </c>
      <c r="H138" s="230">
        <f t="shared" si="33"/>
        <v>393.64000000000004</v>
      </c>
      <c r="I138" s="230">
        <f t="shared" si="33"/>
        <v>393.64000000000004</v>
      </c>
      <c r="J138" s="230">
        <f t="shared" si="33"/>
        <v>393.64000000000004</v>
      </c>
      <c r="K138" s="230">
        <f t="shared" si="33"/>
        <v>393.64000000000004</v>
      </c>
      <c r="L138" s="363">
        <f t="shared" si="33"/>
        <v>393.64000000000004</v>
      </c>
    </row>
    <row r="139" spans="1:12" x14ac:dyDescent="0.25">
      <c r="A139" s="361" t="s">
        <v>382</v>
      </c>
      <c r="B139" s="163"/>
      <c r="C139" s="230">
        <f>$M$84</f>
        <v>930.84</v>
      </c>
      <c r="D139" s="230">
        <f t="shared" ref="D139:L139" si="34">$M$84</f>
        <v>930.84</v>
      </c>
      <c r="E139" s="230">
        <f t="shared" si="34"/>
        <v>930.84</v>
      </c>
      <c r="F139" s="230">
        <f t="shared" si="34"/>
        <v>930.84</v>
      </c>
      <c r="G139" s="230">
        <f t="shared" si="34"/>
        <v>930.84</v>
      </c>
      <c r="H139" s="230">
        <f t="shared" si="34"/>
        <v>930.84</v>
      </c>
      <c r="I139" s="230">
        <f t="shared" si="34"/>
        <v>930.84</v>
      </c>
      <c r="J139" s="230">
        <f t="shared" si="34"/>
        <v>930.84</v>
      </c>
      <c r="K139" s="230">
        <f t="shared" si="34"/>
        <v>930.84</v>
      </c>
      <c r="L139" s="363">
        <f t="shared" si="34"/>
        <v>930.84</v>
      </c>
    </row>
    <row r="140" spans="1:12" x14ac:dyDescent="0.25">
      <c r="A140" s="361" t="s">
        <v>392</v>
      </c>
      <c r="B140" s="163"/>
      <c r="C140" s="230" t="s">
        <v>285</v>
      </c>
      <c r="D140" s="230" t="s">
        <v>285</v>
      </c>
      <c r="E140" s="230" t="s">
        <v>285</v>
      </c>
      <c r="F140" s="230" t="s">
        <v>285</v>
      </c>
      <c r="G140" s="230" t="s">
        <v>285</v>
      </c>
      <c r="H140" s="230" t="s">
        <v>285</v>
      </c>
      <c r="I140" s="230" t="s">
        <v>285</v>
      </c>
      <c r="J140" s="230" t="s">
        <v>285</v>
      </c>
      <c r="K140" s="230" t="s">
        <v>285</v>
      </c>
      <c r="L140" s="363" t="s">
        <v>285</v>
      </c>
    </row>
    <row r="141" spans="1:12" x14ac:dyDescent="0.25">
      <c r="A141" s="366" t="s">
        <v>396</v>
      </c>
      <c r="B141" s="163"/>
      <c r="C141" s="230" t="s">
        <v>285</v>
      </c>
      <c r="D141" s="230" t="s">
        <v>285</v>
      </c>
      <c r="E141" s="230" t="s">
        <v>285</v>
      </c>
      <c r="F141" s="230" t="s">
        <v>285</v>
      </c>
      <c r="G141" s="230" t="s">
        <v>285</v>
      </c>
      <c r="H141" s="230" t="s">
        <v>285</v>
      </c>
      <c r="I141" s="230" t="s">
        <v>285</v>
      </c>
      <c r="J141" s="230" t="s">
        <v>285</v>
      </c>
      <c r="K141" s="230" t="s">
        <v>285</v>
      </c>
      <c r="L141" s="363" t="s">
        <v>285</v>
      </c>
    </row>
    <row r="142" spans="1:12" x14ac:dyDescent="0.25">
      <c r="A142" s="375" t="s">
        <v>517</v>
      </c>
      <c r="B142" s="327"/>
      <c r="C142" s="368">
        <f>SUM(C133:C141)</f>
        <v>6221.8020000000015</v>
      </c>
      <c r="D142" s="368">
        <f>SUM(D133:D141)</f>
        <v>6221.8020000000015</v>
      </c>
      <c r="E142" s="368">
        <f t="shared" ref="E142:L142" si="35">SUM(E133:E141)</f>
        <v>6221.8020000000015</v>
      </c>
      <c r="F142" s="368">
        <f t="shared" si="35"/>
        <v>6221.8020000000015</v>
      </c>
      <c r="G142" s="368">
        <f t="shared" si="35"/>
        <v>6221.8020000000015</v>
      </c>
      <c r="H142" s="368">
        <f t="shared" si="35"/>
        <v>6221.8020000000015</v>
      </c>
      <c r="I142" s="368">
        <f t="shared" si="35"/>
        <v>6221.8020000000015</v>
      </c>
      <c r="J142" s="368">
        <f t="shared" si="35"/>
        <v>6221.8020000000015</v>
      </c>
      <c r="K142" s="368">
        <f t="shared" si="35"/>
        <v>6221.8020000000015</v>
      </c>
      <c r="L142" s="369">
        <f t="shared" si="35"/>
        <v>6221.8020000000015</v>
      </c>
    </row>
    <row r="146" spans="1:12" x14ac:dyDescent="0.25">
      <c r="A146" s="335" t="s">
        <v>521</v>
      </c>
      <c r="B146" s="717" t="s">
        <v>514</v>
      </c>
      <c r="C146" s="717"/>
      <c r="D146" s="717"/>
      <c r="E146" s="717"/>
      <c r="F146" s="717"/>
      <c r="G146" s="717"/>
      <c r="H146" s="717"/>
      <c r="I146" s="717"/>
      <c r="J146" s="717"/>
      <c r="K146" s="717"/>
      <c r="L146" s="717"/>
    </row>
    <row r="147" spans="1:12" x14ac:dyDescent="0.25">
      <c r="A147" s="335" t="s">
        <v>178</v>
      </c>
      <c r="B147" s="371">
        <v>0</v>
      </c>
      <c r="C147" s="292">
        <f t="shared" ref="C147:L147" si="36">+B147+1</f>
        <v>1</v>
      </c>
      <c r="D147" s="292">
        <f t="shared" si="36"/>
        <v>2</v>
      </c>
      <c r="E147" s="292">
        <f t="shared" si="36"/>
        <v>3</v>
      </c>
      <c r="F147" s="292">
        <f t="shared" si="36"/>
        <v>4</v>
      </c>
      <c r="G147" s="292">
        <f t="shared" si="36"/>
        <v>5</v>
      </c>
      <c r="H147" s="292">
        <f t="shared" si="36"/>
        <v>6</v>
      </c>
      <c r="I147" s="292">
        <f t="shared" si="36"/>
        <v>7</v>
      </c>
      <c r="J147" s="292">
        <f t="shared" si="36"/>
        <v>8</v>
      </c>
      <c r="K147" s="292">
        <f t="shared" si="36"/>
        <v>9</v>
      </c>
      <c r="L147" s="292">
        <f t="shared" si="36"/>
        <v>10</v>
      </c>
    </row>
    <row r="148" spans="1:12" x14ac:dyDescent="0.25">
      <c r="A148" s="361" t="s">
        <v>466</v>
      </c>
      <c r="B148" s="163"/>
      <c r="C148" s="230"/>
      <c r="D148" s="230"/>
      <c r="E148" s="230"/>
      <c r="F148" s="230"/>
      <c r="G148" s="230">
        <f>$R$18</f>
        <v>57278.1</v>
      </c>
      <c r="H148" s="230"/>
      <c r="I148" s="230"/>
      <c r="J148" s="230"/>
      <c r="K148" s="230"/>
      <c r="L148" s="372">
        <f>$R$18</f>
        <v>57278.1</v>
      </c>
    </row>
    <row r="149" spans="1:12" x14ac:dyDescent="0.25">
      <c r="A149" s="361" t="s">
        <v>349</v>
      </c>
      <c r="B149" s="163"/>
      <c r="C149" s="230"/>
      <c r="D149" s="230"/>
      <c r="E149" s="230"/>
      <c r="F149" s="230"/>
      <c r="G149" s="230" t="s">
        <v>285</v>
      </c>
      <c r="H149" s="230"/>
      <c r="I149" s="230"/>
      <c r="J149" s="230"/>
      <c r="K149" s="230"/>
      <c r="L149" s="363" t="s">
        <v>285</v>
      </c>
    </row>
    <row r="150" spans="1:12" x14ac:dyDescent="0.25">
      <c r="A150" s="361" t="s">
        <v>358</v>
      </c>
      <c r="B150" s="163"/>
      <c r="C150" s="230"/>
      <c r="D150" s="230"/>
      <c r="E150" s="230"/>
      <c r="F150" s="230"/>
      <c r="G150" s="230">
        <f>$R$40</f>
        <v>1396.0450000000001</v>
      </c>
      <c r="H150" s="230"/>
      <c r="I150" s="230"/>
      <c r="J150" s="230"/>
      <c r="K150" s="230"/>
      <c r="L150" s="363">
        <f>$R$40</f>
        <v>1396.0450000000001</v>
      </c>
    </row>
    <row r="151" spans="1:12" x14ac:dyDescent="0.25">
      <c r="A151" s="361" t="s">
        <v>471</v>
      </c>
      <c r="B151" s="163"/>
      <c r="C151" s="230"/>
      <c r="D151" s="230"/>
      <c r="E151" s="230"/>
      <c r="F151" s="230"/>
      <c r="G151" s="230" t="s">
        <v>285</v>
      </c>
      <c r="H151" s="230"/>
      <c r="I151" s="230"/>
      <c r="J151" s="230"/>
      <c r="K151" s="230"/>
      <c r="L151" s="363" t="s">
        <v>285</v>
      </c>
    </row>
    <row r="152" spans="1:12" x14ac:dyDescent="0.25">
      <c r="A152" s="361" t="s">
        <v>367</v>
      </c>
      <c r="B152" s="163"/>
      <c r="C152" s="230"/>
      <c r="D152" s="230"/>
      <c r="E152" s="230"/>
      <c r="F152" s="230"/>
      <c r="G152" s="230">
        <f>$R$67</f>
        <v>3627.11</v>
      </c>
      <c r="H152" s="230"/>
      <c r="I152" s="230"/>
      <c r="J152" s="230"/>
      <c r="K152" s="230"/>
      <c r="L152" s="363">
        <f>$R$67</f>
        <v>3627.11</v>
      </c>
    </row>
    <row r="153" spans="1:12" x14ac:dyDescent="0.25">
      <c r="A153" s="361" t="s">
        <v>380</v>
      </c>
      <c r="B153" s="163"/>
      <c r="C153" s="230"/>
      <c r="D153" s="230"/>
      <c r="E153" s="230"/>
      <c r="F153" s="230"/>
      <c r="G153" s="230" t="s">
        <v>285</v>
      </c>
      <c r="H153" s="230"/>
      <c r="I153" s="230"/>
      <c r="J153" s="230"/>
      <c r="K153" s="230"/>
      <c r="L153" s="363" t="s">
        <v>285</v>
      </c>
    </row>
    <row r="154" spans="1:12" x14ac:dyDescent="0.25">
      <c r="A154" s="361" t="s">
        <v>382</v>
      </c>
      <c r="B154" s="163"/>
      <c r="C154" s="230"/>
      <c r="D154" s="230"/>
      <c r="E154" s="230"/>
      <c r="F154" s="230"/>
      <c r="G154" s="230">
        <f>$R$84</f>
        <v>11635.5</v>
      </c>
      <c r="H154" s="230"/>
      <c r="I154" s="230"/>
      <c r="J154" s="230"/>
      <c r="K154" s="230"/>
      <c r="L154" s="363">
        <f>$R$84</f>
        <v>11635.5</v>
      </c>
    </row>
    <row r="155" spans="1:12" x14ac:dyDescent="0.25">
      <c r="A155" s="361" t="s">
        <v>392</v>
      </c>
      <c r="B155" s="163"/>
      <c r="C155" s="230"/>
      <c r="D155" s="230"/>
      <c r="E155" s="230"/>
      <c r="F155" s="230"/>
      <c r="G155" s="230">
        <f>$R$90</f>
        <v>3673.29</v>
      </c>
      <c r="H155" s="230"/>
      <c r="I155" s="230"/>
      <c r="J155" s="230"/>
      <c r="K155" s="230"/>
      <c r="L155" s="363">
        <f>$R$90</f>
        <v>3673.29</v>
      </c>
    </row>
    <row r="156" spans="1:12" x14ac:dyDescent="0.25">
      <c r="A156" s="366" t="s">
        <v>396</v>
      </c>
      <c r="B156" s="163"/>
      <c r="C156" s="230"/>
      <c r="D156" s="230"/>
      <c r="E156" s="230"/>
      <c r="F156" s="230"/>
      <c r="G156" s="230" t="s">
        <v>285</v>
      </c>
      <c r="H156" s="230"/>
      <c r="I156" s="230"/>
      <c r="J156" s="230"/>
      <c r="K156" s="230"/>
      <c r="L156" s="363" t="s">
        <v>285</v>
      </c>
    </row>
    <row r="157" spans="1:12" x14ac:dyDescent="0.25">
      <c r="A157" s="375" t="s">
        <v>523</v>
      </c>
      <c r="B157" s="327"/>
      <c r="C157" s="368">
        <f>SUM(C148:C156)</f>
        <v>0</v>
      </c>
      <c r="D157" s="368">
        <f>SUM(D148:D156)</f>
        <v>0</v>
      </c>
      <c r="E157" s="368">
        <f t="shared" ref="E157:L157" si="37">SUM(E148:E156)</f>
        <v>0</v>
      </c>
      <c r="F157" s="368">
        <f t="shared" si="37"/>
        <v>0</v>
      </c>
      <c r="G157" s="368">
        <f t="shared" si="37"/>
        <v>77610.044999999998</v>
      </c>
      <c r="H157" s="368">
        <f t="shared" si="37"/>
        <v>0</v>
      </c>
      <c r="I157" s="368">
        <f t="shared" si="37"/>
        <v>0</v>
      </c>
      <c r="J157" s="368">
        <f t="shared" si="37"/>
        <v>0</v>
      </c>
      <c r="K157" s="368">
        <f t="shared" si="37"/>
        <v>0</v>
      </c>
      <c r="L157" s="369">
        <f t="shared" si="37"/>
        <v>77610.044999999998</v>
      </c>
    </row>
  </sheetData>
  <mergeCells count="15">
    <mergeCell ref="B114:L114"/>
    <mergeCell ref="B131:L131"/>
    <mergeCell ref="B99:L99"/>
    <mergeCell ref="B146:L146"/>
    <mergeCell ref="O3:S3"/>
    <mergeCell ref="S4:S5"/>
    <mergeCell ref="D69:D71"/>
    <mergeCell ref="H69:H71"/>
    <mergeCell ref="L69:L71"/>
    <mergeCell ref="M69:M71"/>
    <mergeCell ref="A3:D3"/>
    <mergeCell ref="F3:H3"/>
    <mergeCell ref="J3:M3"/>
    <mergeCell ref="P4:P5"/>
    <mergeCell ref="R4:R5"/>
  </mergeCells>
  <pageMargins left="0.7" right="0.7" top="0.75" bottom="0.75" header="0.3" footer="0.3"/>
  <pageSetup orientation="portrait" horizontalDpi="4294967293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42"/>
  <sheetViews>
    <sheetView zoomScaleNormal="100" workbookViewId="0">
      <selection activeCell="B16" sqref="B16"/>
    </sheetView>
  </sheetViews>
  <sheetFormatPr baseColWidth="10" defaultColWidth="11" defaultRowHeight="15" x14ac:dyDescent="0.25"/>
  <cols>
    <col min="1" max="2" width="11" style="3"/>
    <col min="3" max="3" width="21.28515625" style="3" customWidth="1"/>
    <col min="4" max="4" width="11" style="3"/>
    <col min="5" max="5" width="13.42578125" style="3" bestFit="1" customWidth="1"/>
    <col min="6" max="13" width="11" style="3"/>
    <col min="14" max="14" width="11.85546875" style="3" bestFit="1" customWidth="1"/>
    <col min="15" max="16384" width="11" style="3"/>
  </cols>
  <sheetData>
    <row r="3" spans="2:16" x14ac:dyDescent="0.25">
      <c r="C3" s="129"/>
      <c r="D3" s="129" t="s">
        <v>13</v>
      </c>
      <c r="E3" s="129" t="s">
        <v>2</v>
      </c>
      <c r="F3" s="129" t="s">
        <v>14</v>
      </c>
      <c r="G3" s="129" t="s">
        <v>15</v>
      </c>
      <c r="H3" s="129" t="s">
        <v>16</v>
      </c>
      <c r="I3" s="129" t="s">
        <v>17</v>
      </c>
      <c r="J3" s="129" t="s">
        <v>18</v>
      </c>
      <c r="K3" s="129" t="s">
        <v>19</v>
      </c>
      <c r="L3" s="129" t="s">
        <v>20</v>
      </c>
      <c r="M3" s="129" t="s">
        <v>21</v>
      </c>
      <c r="N3" s="129" t="s">
        <v>22</v>
      </c>
    </row>
    <row r="4" spans="2:16" x14ac:dyDescent="0.25">
      <c r="B4" s="4"/>
      <c r="C4" s="130" t="s">
        <v>455</v>
      </c>
      <c r="D4" s="131"/>
      <c r="E4" s="106">
        <f>'FLUJOS - ESCENARIO SIN DEUDA'!D11</f>
        <v>1599239.607414285</v>
      </c>
      <c r="F4" s="106">
        <f>'FLUJOS - ESCENARIO SIN DEUDA'!E11</f>
        <v>1784546.3692800493</v>
      </c>
      <c r="G4" s="106">
        <f>'FLUJOS - ESCENARIO SIN DEUDA'!F11</f>
        <v>1902009.3620280642</v>
      </c>
      <c r="H4" s="106">
        <f>'FLUJOS - ESCENARIO SIN DEUDA'!G11</f>
        <v>2033412.6398107067</v>
      </c>
      <c r="I4" s="106">
        <f>'FLUJOS - ESCENARIO SIN DEUDA'!H11</f>
        <v>2174234.6555127101</v>
      </c>
      <c r="J4" s="106">
        <f>'FLUJOS - ESCENARIO SIN DEUDA'!I11</f>
        <v>2323962.0089240242</v>
      </c>
      <c r="K4" s="106">
        <f>'FLUJOS - ESCENARIO SIN DEUDA'!J11</f>
        <v>2484736.20927752</v>
      </c>
      <c r="L4" s="106">
        <f>'FLUJOS - ESCENARIO SIN DEUDA'!K11</f>
        <v>2657068.67145237</v>
      </c>
      <c r="M4" s="106">
        <f>'FLUJOS - ESCENARIO SIN DEUDA'!L11</f>
        <v>2840776.270386239</v>
      </c>
      <c r="N4" s="293">
        <f>'FLUJOS - ESCENARIO SIN DEUDA'!M11</f>
        <v>3037425.6046353104</v>
      </c>
    </row>
    <row r="5" spans="2:16" x14ac:dyDescent="0.25">
      <c r="B5" s="4"/>
      <c r="C5" s="132" t="s">
        <v>464</v>
      </c>
      <c r="D5" s="381"/>
      <c r="E5" s="296">
        <f>'FLUJOS - ESCENARIO SIN DEUDA'!D16</f>
        <v>71419.153592619463</v>
      </c>
      <c r="F5" s="296">
        <f>'FLUJOS - ESCENARIO SIN DEUDA'!E16</f>
        <v>78833.655167033168</v>
      </c>
      <c r="G5" s="296">
        <f>'FLUJOS - ESCENARIO SIN DEUDA'!F16</f>
        <v>84180.290482002616</v>
      </c>
      <c r="H5" s="296">
        <f>'FLUJOS - ESCENARIO SIN DEUDA'!G16</f>
        <v>90081.315976759768</v>
      </c>
      <c r="I5" s="296">
        <f>'FLUJOS - ESCENARIO SIN DEUDA'!H16</f>
        <v>96400.275468014312</v>
      </c>
      <c r="J5" s="296">
        <f>'FLUJOS - ESCENARIO SIN DEUDA'!I16</f>
        <v>103140.56603891091</v>
      </c>
      <c r="K5" s="296">
        <f>'FLUJOS - ESCENARIO SIN DEUDA'!J16</f>
        <v>110365.15575485502</v>
      </c>
      <c r="L5" s="296">
        <f>'FLUJOS - ESCENARIO SIN DEUDA'!K16</f>
        <v>118102.17144583049</v>
      </c>
      <c r="M5" s="296">
        <f>'FLUJOS - ESCENARIO SIN DEUDA'!L16</f>
        <v>126365.60484534371</v>
      </c>
      <c r="N5" s="297">
        <f>'FLUJOS - ESCENARIO SIN DEUDA'!M16</f>
        <v>135209.29116756862</v>
      </c>
    </row>
    <row r="6" spans="2:16" x14ac:dyDescent="0.25">
      <c r="B6" s="4"/>
      <c r="C6" s="134" t="s">
        <v>465</v>
      </c>
      <c r="D6" s="135"/>
      <c r="E6" s="136">
        <f>'FLUJOS - ESCENARIO SIN DEUDA'!D22-'FLUJOS - ESCENARIO SIN DEUDA'!D33</f>
        <v>1147791.3081355987</v>
      </c>
      <c r="F6" s="136">
        <f>'FLUJOS - ESCENARIO SIN DEUDA'!E22-'FLUJOS - ESCENARIO SIN DEUDA'!E33</f>
        <v>1224936.1175667495</v>
      </c>
      <c r="G6" s="136">
        <f>'FLUJOS - ESCENARIO SIN DEUDA'!F22-'FLUJOS - ESCENARIO SIN DEUDA'!F33</f>
        <v>1254832.1475859708</v>
      </c>
      <c r="H6" s="136">
        <f>'FLUJOS - ESCENARIO SIN DEUDA'!G22-'FLUJOS - ESCENARIO SIN DEUDA'!G33</f>
        <v>1289768.6995722204</v>
      </c>
      <c r="I6" s="136">
        <f>'FLUJOS - ESCENARIO SIN DEUDA'!H22-'FLUJOS - ESCENARIO SIN DEUDA'!H33</f>
        <v>1356006.4090056431</v>
      </c>
      <c r="J6" s="136">
        <f>'FLUJOS - ESCENARIO SIN DEUDA'!I22-'FLUJOS - ESCENARIO SIN DEUDA'!I33</f>
        <v>1371476.1937971003</v>
      </c>
      <c r="K6" s="136">
        <f>'FLUJOS - ESCENARIO SIN DEUDA'!J22-'FLUJOS - ESCENARIO SIN DEUDA'!J33</f>
        <v>1428815.7510580928</v>
      </c>
      <c r="L6" s="136">
        <f>'FLUJOS - ESCENARIO SIN DEUDA'!K22-'FLUJOS - ESCENARIO SIN DEUDA'!K33</f>
        <v>1476164.6316096638</v>
      </c>
      <c r="M6" s="136">
        <f>'FLUJOS - ESCENARIO SIN DEUDA'!L22-'FLUJOS - ESCENARIO SIN DEUDA'!L33</f>
        <v>1495504.1543704215</v>
      </c>
      <c r="N6" s="295">
        <f>'FLUJOS - ESCENARIO SIN DEUDA'!M22-'FLUJOS - ESCENARIO SIN DEUDA'!M33</f>
        <v>1516914.1299167585</v>
      </c>
    </row>
    <row r="7" spans="2:16" x14ac:dyDescent="0.25">
      <c r="B7" s="4"/>
      <c r="C7" s="4"/>
    </row>
    <row r="8" spans="2:16" x14ac:dyDescent="0.25">
      <c r="B8" s="4"/>
      <c r="C8" s="4"/>
    </row>
    <row r="9" spans="2:16" ht="17.100000000000001" customHeight="1" x14ac:dyDescent="0.25">
      <c r="B9" s="129" t="s">
        <v>457</v>
      </c>
      <c r="C9" s="129" t="s">
        <v>458</v>
      </c>
      <c r="D9" s="377" t="s">
        <v>13</v>
      </c>
      <c r="E9" s="129" t="s">
        <v>2</v>
      </c>
      <c r="F9" s="377" t="s">
        <v>14</v>
      </c>
      <c r="G9" s="129" t="s">
        <v>15</v>
      </c>
      <c r="H9" s="377" t="s">
        <v>16</v>
      </c>
      <c r="I9" s="129" t="s">
        <v>17</v>
      </c>
      <c r="J9" s="377" t="s">
        <v>18</v>
      </c>
      <c r="K9" s="129" t="s">
        <v>19</v>
      </c>
      <c r="L9" s="377" t="s">
        <v>20</v>
      </c>
      <c r="M9" s="129" t="s">
        <v>21</v>
      </c>
      <c r="N9" s="137" t="s">
        <v>22</v>
      </c>
    </row>
    <row r="10" spans="2:16" ht="17.100000000000001" customHeight="1" x14ac:dyDescent="0.25">
      <c r="B10" s="130">
        <v>30</v>
      </c>
      <c r="C10" s="113" t="s">
        <v>454</v>
      </c>
      <c r="D10" s="138"/>
      <c r="E10" s="293">
        <f>E6*$B$10/360</f>
        <v>95649.275677966551</v>
      </c>
      <c r="F10" s="107">
        <f t="shared" ref="F10:N10" si="0">F6*$B$10/360</f>
        <v>102078.00979722913</v>
      </c>
      <c r="G10" s="293">
        <f t="shared" si="0"/>
        <v>104569.34563216424</v>
      </c>
      <c r="H10" s="107">
        <f t="shared" si="0"/>
        <v>107480.7249643517</v>
      </c>
      <c r="I10" s="293">
        <f t="shared" si="0"/>
        <v>113000.53408380359</v>
      </c>
      <c r="J10" s="107">
        <f t="shared" si="0"/>
        <v>114289.68281642503</v>
      </c>
      <c r="K10" s="293">
        <f t="shared" si="0"/>
        <v>119067.97925484106</v>
      </c>
      <c r="L10" s="107">
        <f t="shared" si="0"/>
        <v>123013.71930080533</v>
      </c>
      <c r="M10" s="293">
        <f t="shared" si="0"/>
        <v>124625.34619753514</v>
      </c>
      <c r="N10" s="108">
        <f t="shared" si="0"/>
        <v>126409.51082639655</v>
      </c>
    </row>
    <row r="11" spans="2:16" ht="17.100000000000001" customHeight="1" x14ac:dyDescent="0.25">
      <c r="B11" s="132">
        <v>2</v>
      </c>
      <c r="C11" s="114" t="s">
        <v>459</v>
      </c>
      <c r="D11" s="109"/>
      <c r="E11" s="294">
        <f>$B$11*E4/360</f>
        <v>8884.6644856349158</v>
      </c>
      <c r="F11" s="89">
        <f t="shared" ref="F11:N11" si="1">$B$11*F4/360</f>
        <v>9914.1464960002741</v>
      </c>
      <c r="G11" s="294">
        <f t="shared" si="1"/>
        <v>10566.71867793369</v>
      </c>
      <c r="H11" s="89">
        <f t="shared" si="1"/>
        <v>11296.73688783726</v>
      </c>
      <c r="I11" s="294">
        <f t="shared" si="1"/>
        <v>12079.081419515056</v>
      </c>
      <c r="J11" s="89">
        <f t="shared" si="1"/>
        <v>12910.900049577913</v>
      </c>
      <c r="K11" s="294">
        <f t="shared" si="1"/>
        <v>13804.090051541778</v>
      </c>
      <c r="L11" s="89">
        <f t="shared" si="1"/>
        <v>14761.492619179833</v>
      </c>
      <c r="M11" s="294">
        <f t="shared" si="1"/>
        <v>15782.090391034661</v>
      </c>
      <c r="N11" s="110">
        <f t="shared" si="1"/>
        <v>16874.58669241839</v>
      </c>
    </row>
    <row r="12" spans="2:16" ht="17.100000000000001" customHeight="1" x14ac:dyDescent="0.25">
      <c r="B12" s="132">
        <v>0</v>
      </c>
      <c r="C12" s="114" t="s">
        <v>460</v>
      </c>
      <c r="D12" s="109"/>
      <c r="E12" s="378">
        <v>0</v>
      </c>
      <c r="F12" s="88">
        <v>0</v>
      </c>
      <c r="G12" s="378">
        <v>0</v>
      </c>
      <c r="H12" s="88">
        <v>0</v>
      </c>
      <c r="I12" s="378">
        <v>0</v>
      </c>
      <c r="J12" s="88">
        <v>0</v>
      </c>
      <c r="K12" s="378">
        <v>0</v>
      </c>
      <c r="L12" s="88">
        <v>0</v>
      </c>
      <c r="M12" s="378">
        <v>0</v>
      </c>
      <c r="N12" s="139">
        <v>0</v>
      </c>
    </row>
    <row r="13" spans="2:16" ht="17.100000000000001" customHeight="1" x14ac:dyDescent="0.25">
      <c r="B13" s="134">
        <v>0</v>
      </c>
      <c r="C13" s="114" t="s">
        <v>456</v>
      </c>
      <c r="D13" s="102"/>
      <c r="E13" s="295">
        <f>-($B$13*E5/360)</f>
        <v>0</v>
      </c>
      <c r="F13" s="140">
        <f t="shared" ref="F13:N13" si="2">-($B$13*F5/360)</f>
        <v>0</v>
      </c>
      <c r="G13" s="295">
        <f t="shared" si="2"/>
        <v>0</v>
      </c>
      <c r="H13" s="140">
        <f t="shared" si="2"/>
        <v>0</v>
      </c>
      <c r="I13" s="295">
        <f t="shared" si="2"/>
        <v>0</v>
      </c>
      <c r="J13" s="140">
        <f t="shared" si="2"/>
        <v>0</v>
      </c>
      <c r="K13" s="295">
        <f t="shared" si="2"/>
        <v>0</v>
      </c>
      <c r="L13" s="140">
        <f t="shared" si="2"/>
        <v>0</v>
      </c>
      <c r="M13" s="295">
        <f t="shared" si="2"/>
        <v>0</v>
      </c>
      <c r="N13" s="120">
        <f t="shared" si="2"/>
        <v>0</v>
      </c>
    </row>
    <row r="14" spans="2:16" ht="17.100000000000001" customHeight="1" x14ac:dyDescent="0.25">
      <c r="B14" s="92"/>
      <c r="C14" s="141" t="s">
        <v>458</v>
      </c>
      <c r="D14" s="142"/>
      <c r="E14" s="297">
        <f>SUM(E10:E13)</f>
        <v>104533.94016360147</v>
      </c>
      <c r="F14" s="143">
        <f t="shared" ref="F14:M14" si="3">SUM(F10:F13)</f>
        <v>111992.1562932294</v>
      </c>
      <c r="G14" s="297">
        <f t="shared" si="3"/>
        <v>115136.06431009794</v>
      </c>
      <c r="H14" s="143">
        <f t="shared" si="3"/>
        <v>118777.46185218896</v>
      </c>
      <c r="I14" s="297">
        <f t="shared" si="3"/>
        <v>125079.61550331865</v>
      </c>
      <c r="J14" s="143">
        <f t="shared" si="3"/>
        <v>127200.58286600295</v>
      </c>
      <c r="K14" s="297">
        <f t="shared" si="3"/>
        <v>132872.06930638285</v>
      </c>
      <c r="L14" s="143">
        <f t="shared" si="3"/>
        <v>137775.21191998516</v>
      </c>
      <c r="M14" s="297">
        <f t="shared" si="3"/>
        <v>140407.43658856981</v>
      </c>
      <c r="N14" s="210">
        <f>SUM(N10:N13)</f>
        <v>143284.09751881493</v>
      </c>
      <c r="P14" s="126"/>
    </row>
    <row r="15" spans="2:16" ht="17.100000000000001" customHeight="1" x14ac:dyDescent="0.25">
      <c r="B15" s="92"/>
      <c r="C15" s="141" t="s">
        <v>461</v>
      </c>
      <c r="D15" s="144">
        <f>-E14</f>
        <v>-104533.94016360147</v>
      </c>
      <c r="E15" s="379">
        <f>-F14+E14</f>
        <v>-7458.2161296279373</v>
      </c>
      <c r="F15" s="144">
        <f t="shared" ref="F15:M15" si="4">-G14+F14</f>
        <v>-3143.9080168685323</v>
      </c>
      <c r="G15" s="379">
        <f t="shared" si="4"/>
        <v>-3641.3975420910283</v>
      </c>
      <c r="H15" s="144">
        <f t="shared" si="4"/>
        <v>-6302.1536511296872</v>
      </c>
      <c r="I15" s="379">
        <f t="shared" si="4"/>
        <v>-2120.9673626842996</v>
      </c>
      <c r="J15" s="144">
        <f t="shared" si="4"/>
        <v>-5671.4864403799002</v>
      </c>
      <c r="K15" s="379">
        <f t="shared" si="4"/>
        <v>-4903.1426136023074</v>
      </c>
      <c r="L15" s="144">
        <f t="shared" si="4"/>
        <v>-2632.2246685846476</v>
      </c>
      <c r="M15" s="379">
        <f t="shared" si="4"/>
        <v>-2876.6609302451252</v>
      </c>
      <c r="N15" s="220"/>
    </row>
    <row r="16" spans="2:16" ht="17.100000000000001" customHeight="1" x14ac:dyDescent="0.25">
      <c r="B16" s="133"/>
      <c r="C16" s="145" t="s">
        <v>462</v>
      </c>
      <c r="D16" s="79"/>
      <c r="E16" s="380"/>
      <c r="F16" s="79"/>
      <c r="G16" s="380"/>
      <c r="H16" s="79"/>
      <c r="I16" s="380"/>
      <c r="J16" s="79"/>
      <c r="K16" s="380"/>
      <c r="L16" s="79"/>
      <c r="M16" s="380"/>
      <c r="N16" s="110">
        <f>N14</f>
        <v>143284.09751881493</v>
      </c>
    </row>
    <row r="17" spans="2:16" ht="17.100000000000001" customHeight="1" x14ac:dyDescent="0.25">
      <c r="B17" s="209"/>
      <c r="C17" s="228" t="s">
        <v>463</v>
      </c>
      <c r="D17" s="229">
        <f>SUM(D15:D16)</f>
        <v>-104533.94016360147</v>
      </c>
      <c r="E17" s="124">
        <f t="shared" ref="E17:N17" si="5">SUM(E15:E16)</f>
        <v>-7458.2161296279373</v>
      </c>
      <c r="F17" s="229">
        <f t="shared" si="5"/>
        <v>-3143.9080168685323</v>
      </c>
      <c r="G17" s="124">
        <f t="shared" si="5"/>
        <v>-3641.3975420910283</v>
      </c>
      <c r="H17" s="229">
        <f t="shared" si="5"/>
        <v>-6302.1536511296872</v>
      </c>
      <c r="I17" s="124">
        <f t="shared" si="5"/>
        <v>-2120.9673626842996</v>
      </c>
      <c r="J17" s="229">
        <f t="shared" si="5"/>
        <v>-5671.4864403799002</v>
      </c>
      <c r="K17" s="124">
        <f t="shared" si="5"/>
        <v>-4903.1426136023074</v>
      </c>
      <c r="L17" s="229">
        <f t="shared" si="5"/>
        <v>-2632.2246685846476</v>
      </c>
      <c r="M17" s="124">
        <f t="shared" si="5"/>
        <v>-2876.6609302451252</v>
      </c>
      <c r="N17" s="125">
        <f t="shared" si="5"/>
        <v>143284.09751881493</v>
      </c>
    </row>
    <row r="18" spans="2:16" x14ac:dyDescent="0.25">
      <c r="B18" s="4"/>
      <c r="C18" s="4"/>
    </row>
    <row r="19" spans="2:16" x14ac:dyDescent="0.25">
      <c r="B19" s="4"/>
      <c r="C19" s="4"/>
    </row>
    <row r="24" spans="2:16" x14ac:dyDescent="0.25"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</row>
    <row r="26" spans="2:16" x14ac:dyDescent="0.25">
      <c r="C26" s="111"/>
    </row>
    <row r="42" spans="4:4" x14ac:dyDescent="0.25">
      <c r="D42" s="11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J12"/>
  <sheetViews>
    <sheetView zoomScale="85" zoomScaleNormal="85" workbookViewId="0">
      <selection activeCell="E15" sqref="E15"/>
    </sheetView>
  </sheetViews>
  <sheetFormatPr baseColWidth="10" defaultColWidth="11" defaultRowHeight="15" x14ac:dyDescent="0.25"/>
  <cols>
    <col min="1" max="1" width="11" style="3"/>
    <col min="2" max="2" width="22.140625" style="3" customWidth="1"/>
    <col min="3" max="3" width="28.42578125" style="3" customWidth="1"/>
    <col min="4" max="4" width="11" style="3"/>
    <col min="5" max="5" width="36.28515625" style="3" customWidth="1"/>
    <col min="6" max="6" width="11" style="3"/>
    <col min="7" max="7" width="9.28515625" style="3" customWidth="1"/>
    <col min="8" max="8" width="11.42578125" style="3" bestFit="1" customWidth="1"/>
    <col min="9" max="9" width="27.85546875" style="3" customWidth="1"/>
    <col min="10" max="16384" width="11" style="3"/>
  </cols>
  <sheetData>
    <row r="2" spans="2:10" ht="15.75" x14ac:dyDescent="0.25">
      <c r="J2" s="60"/>
    </row>
    <row r="3" spans="2:10" x14ac:dyDescent="0.25">
      <c r="B3" s="273" t="s">
        <v>423</v>
      </c>
      <c r="C3" s="61">
        <f>C5*C8*(1-C9)+C6*C7</f>
        <v>0.20751471999999996</v>
      </c>
      <c r="E3" s="734" t="s">
        <v>428</v>
      </c>
      <c r="F3" s="735"/>
      <c r="G3" s="734" t="s">
        <v>528</v>
      </c>
      <c r="H3" s="736"/>
      <c r="I3" s="735"/>
    </row>
    <row r="4" spans="2:10" x14ac:dyDescent="0.25">
      <c r="C4" s="4"/>
      <c r="E4" s="277" t="s">
        <v>529</v>
      </c>
      <c r="F4" s="62">
        <v>0.11650000000000001</v>
      </c>
      <c r="G4" s="737" t="s">
        <v>530</v>
      </c>
      <c r="H4" s="738"/>
      <c r="I4" s="739"/>
    </row>
    <row r="5" spans="2:10" x14ac:dyDescent="0.25">
      <c r="B5" s="274" t="s">
        <v>436</v>
      </c>
      <c r="C5" s="63">
        <v>0.3</v>
      </c>
      <c r="E5" s="277" t="s">
        <v>440</v>
      </c>
      <c r="F5" s="64">
        <v>1.7500000000000002E-2</v>
      </c>
      <c r="G5" s="740" t="s">
        <v>531</v>
      </c>
      <c r="H5" s="741"/>
      <c r="I5" s="742"/>
    </row>
    <row r="6" spans="2:10" ht="15.75" x14ac:dyDescent="0.25">
      <c r="B6" s="275" t="s">
        <v>437</v>
      </c>
      <c r="C6" s="65">
        <v>0.7</v>
      </c>
      <c r="E6" s="278" t="s">
        <v>441</v>
      </c>
      <c r="F6" s="66">
        <v>6.1800000000000001E-2</v>
      </c>
      <c r="G6" s="743" t="s">
        <v>532</v>
      </c>
      <c r="H6" s="744"/>
      <c r="I6" s="745"/>
    </row>
    <row r="7" spans="2:10" x14ac:dyDescent="0.25">
      <c r="B7" s="275" t="s">
        <v>435</v>
      </c>
      <c r="C7" s="67">
        <f>F5+F9*(F6)+F7+F4</f>
        <v>0.23101959999999999</v>
      </c>
      <c r="E7" s="278" t="s">
        <v>442</v>
      </c>
      <c r="F7" s="68">
        <v>2.1499999999999998E-2</v>
      </c>
      <c r="G7" s="743" t="s">
        <v>533</v>
      </c>
      <c r="H7" s="744"/>
      <c r="I7" s="745"/>
    </row>
    <row r="8" spans="2:10" ht="15.75" x14ac:dyDescent="0.25">
      <c r="B8" s="275" t="s">
        <v>438</v>
      </c>
      <c r="C8" s="67">
        <v>0.21809999999999999</v>
      </c>
      <c r="E8" s="279" t="s">
        <v>443</v>
      </c>
      <c r="F8" s="69">
        <v>0.94</v>
      </c>
      <c r="G8" s="731" t="s">
        <v>534</v>
      </c>
      <c r="H8" s="732"/>
      <c r="I8" s="733"/>
    </row>
    <row r="9" spans="2:10" ht="15" customHeight="1" x14ac:dyDescent="0.25">
      <c r="B9" s="276" t="s">
        <v>535</v>
      </c>
      <c r="C9" s="70">
        <v>0.3</v>
      </c>
      <c r="E9" s="71" t="s">
        <v>444</v>
      </c>
      <c r="F9" s="72">
        <f>F8*(1+(C5/C6)*(1-C9))</f>
        <v>1.222</v>
      </c>
    </row>
    <row r="11" spans="2:10" x14ac:dyDescent="0.25">
      <c r="B11" s="71" t="s">
        <v>438</v>
      </c>
      <c r="C11" s="221">
        <f>C8</f>
        <v>0.21809999999999999</v>
      </c>
      <c r="D11" s="74"/>
      <c r="E11" s="74"/>
      <c r="F11" s="74"/>
      <c r="G11" s="74"/>
      <c r="H11" s="75"/>
    </row>
    <row r="12" spans="2:10" x14ac:dyDescent="0.25">
      <c r="B12" s="128" t="s">
        <v>610</v>
      </c>
      <c r="C12" s="74"/>
      <c r="D12" s="74"/>
      <c r="E12" s="74"/>
      <c r="F12" s="74"/>
      <c r="G12" s="75"/>
      <c r="H12" s="75"/>
    </row>
  </sheetData>
  <mergeCells count="7">
    <mergeCell ref="G8:I8"/>
    <mergeCell ref="E3:F3"/>
    <mergeCell ref="G3:I3"/>
    <mergeCell ref="G4:I4"/>
    <mergeCell ref="G5:I5"/>
    <mergeCell ref="G6:I6"/>
    <mergeCell ref="G7:I7"/>
  </mergeCells>
  <hyperlinks>
    <hyperlink ref="G5" r:id="rId1"/>
    <hyperlink ref="G6" r:id="rId2"/>
    <hyperlink ref="G7" r:id="rId3"/>
    <hyperlink ref="G8" r:id="rId4"/>
    <hyperlink ref="G4" r:id="rId5"/>
  </hyperlinks>
  <pageMargins left="0.7" right="0.7" top="0.75" bottom="0.75" header="0.3" footer="0.3"/>
  <legacy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39"/>
  <sheetViews>
    <sheetView tabSelected="1" zoomScale="85" zoomScaleNormal="85" workbookViewId="0">
      <selection activeCell="E30" sqref="E30"/>
    </sheetView>
  </sheetViews>
  <sheetFormatPr baseColWidth="10" defaultColWidth="11" defaultRowHeight="12.75" x14ac:dyDescent="0.2"/>
  <cols>
    <col min="1" max="1" width="11" style="14"/>
    <col min="2" max="2" width="22.140625" style="14" customWidth="1"/>
    <col min="3" max="3" width="17.28515625" style="14" customWidth="1"/>
    <col min="4" max="6" width="11" style="14"/>
    <col min="7" max="7" width="18.42578125" style="14" customWidth="1"/>
    <col min="8" max="8" width="11.42578125" style="14" bestFit="1" customWidth="1"/>
    <col min="9" max="13" width="11" style="6"/>
    <col min="14" max="16384" width="11" style="14"/>
  </cols>
  <sheetData>
    <row r="2" spans="2:13" x14ac:dyDescent="0.2">
      <c r="B2" s="746" t="s">
        <v>524</v>
      </c>
      <c r="C2" s="747"/>
      <c r="D2" s="748"/>
    </row>
    <row r="3" spans="2:13" x14ac:dyDescent="0.2">
      <c r="B3" s="55" t="s">
        <v>436</v>
      </c>
      <c r="C3" s="54">
        <f>D3*$C$5</f>
        <v>374493.59468467365</v>
      </c>
      <c r="D3" s="51">
        <v>0.3</v>
      </c>
      <c r="F3" s="298"/>
    </row>
    <row r="4" spans="2:13" x14ac:dyDescent="0.2">
      <c r="B4" s="56" t="s">
        <v>437</v>
      </c>
      <c r="C4" s="57">
        <f>D4*$C$5</f>
        <v>873818.38759757183</v>
      </c>
      <c r="D4" s="53">
        <v>0.7</v>
      </c>
      <c r="F4" s="298"/>
    </row>
    <row r="5" spans="2:13" x14ac:dyDescent="0.2">
      <c r="B5" s="17" t="s">
        <v>273</v>
      </c>
      <c r="C5" s="57">
        <f>-'FLUJOS - ESCENARIO SIN DEUDA'!C51</f>
        <v>1248311.9822822455</v>
      </c>
      <c r="D5" s="52">
        <v>1</v>
      </c>
    </row>
    <row r="6" spans="2:13" x14ac:dyDescent="0.2">
      <c r="B6" s="22"/>
      <c r="C6" s="23"/>
      <c r="D6" s="58"/>
    </row>
    <row r="8" spans="2:13" x14ac:dyDescent="0.2">
      <c r="B8" s="38" t="s">
        <v>430</v>
      </c>
      <c r="C8" s="39">
        <v>0.3</v>
      </c>
    </row>
    <row r="9" spans="2:13" x14ac:dyDescent="0.2">
      <c r="B9" s="40" t="s">
        <v>431</v>
      </c>
      <c r="C9" s="36">
        <f>C3</f>
        <v>374493.59468467365</v>
      </c>
    </row>
    <row r="10" spans="2:13" x14ac:dyDescent="0.2">
      <c r="B10" s="40" t="s">
        <v>433</v>
      </c>
      <c r="C10" s="41">
        <v>10</v>
      </c>
      <c r="E10" s="17" t="s">
        <v>9</v>
      </c>
      <c r="F10" s="42">
        <v>0.3</v>
      </c>
    </row>
    <row r="11" spans="2:13" x14ac:dyDescent="0.2">
      <c r="B11" s="43" t="s">
        <v>432</v>
      </c>
      <c r="C11" s="227">
        <f>WACC!C8</f>
        <v>0.21809999999999999</v>
      </c>
      <c r="H11" s="59"/>
    </row>
    <row r="13" spans="2:13" x14ac:dyDescent="0.2">
      <c r="B13" s="21" t="s">
        <v>612</v>
      </c>
      <c r="C13" s="169"/>
    </row>
    <row r="15" spans="2:13" x14ac:dyDescent="0.2">
      <c r="B15" s="15" t="s">
        <v>428</v>
      </c>
      <c r="C15" s="382" t="s">
        <v>13</v>
      </c>
      <c r="D15" s="44" t="s">
        <v>2</v>
      </c>
      <c r="E15" s="44" t="s">
        <v>14</v>
      </c>
      <c r="F15" s="44" t="s">
        <v>15</v>
      </c>
      <c r="G15" s="44" t="s">
        <v>16</v>
      </c>
      <c r="H15" s="44" t="s">
        <v>17</v>
      </c>
      <c r="I15" s="225" t="s">
        <v>18</v>
      </c>
      <c r="J15" s="225" t="s">
        <v>19</v>
      </c>
      <c r="K15" s="225" t="s">
        <v>20</v>
      </c>
      <c r="L15" s="225" t="s">
        <v>21</v>
      </c>
      <c r="M15" s="226" t="s">
        <v>22</v>
      </c>
    </row>
    <row r="16" spans="2:13" x14ac:dyDescent="0.2">
      <c r="B16" s="223" t="s">
        <v>424</v>
      </c>
      <c r="C16" s="45">
        <f>C9</f>
        <v>374493.59468467365</v>
      </c>
      <c r="D16" s="46">
        <f>C16+D18</f>
        <v>374493.59468467365</v>
      </c>
      <c r="E16" s="46">
        <f>D16+E18</f>
        <v>374493.59468467365</v>
      </c>
      <c r="F16" s="46">
        <f t="shared" ref="F16:M16" si="0">E16+F18</f>
        <v>374493.59468467365</v>
      </c>
      <c r="G16" s="46">
        <f t="shared" si="0"/>
        <v>374493.59468467365</v>
      </c>
      <c r="H16" s="46">
        <f t="shared" si="0"/>
        <v>374493.59468467365</v>
      </c>
      <c r="I16" s="211">
        <f t="shared" si="0"/>
        <v>374493.59468467365</v>
      </c>
      <c r="J16" s="211">
        <f t="shared" si="0"/>
        <v>374493.59468467365</v>
      </c>
      <c r="K16" s="211">
        <f t="shared" si="0"/>
        <v>374493.59468467365</v>
      </c>
      <c r="L16" s="211">
        <f t="shared" si="0"/>
        <v>374493.59468467365</v>
      </c>
      <c r="M16" s="37">
        <f t="shared" si="0"/>
        <v>0</v>
      </c>
    </row>
    <row r="17" spans="2:13" x14ac:dyDescent="0.2">
      <c r="B17" s="223" t="s">
        <v>425</v>
      </c>
      <c r="C17" s="47"/>
      <c r="D17" s="48">
        <f>D18+D19</f>
        <v>-81677.053000727319</v>
      </c>
      <c r="E17" s="48">
        <f t="shared" ref="E17:M17" si="1">E18+E19</f>
        <v>-81677.053000727319</v>
      </c>
      <c r="F17" s="48">
        <f t="shared" si="1"/>
        <v>-81677.053000727319</v>
      </c>
      <c r="G17" s="48">
        <f t="shared" si="1"/>
        <v>-81677.053000727319</v>
      </c>
      <c r="H17" s="48">
        <f t="shared" si="1"/>
        <v>-81677.053000727319</v>
      </c>
      <c r="I17" s="48">
        <f t="shared" si="1"/>
        <v>-81677.053000727319</v>
      </c>
      <c r="J17" s="48">
        <f t="shared" si="1"/>
        <v>-81677.053000727319</v>
      </c>
      <c r="K17" s="48">
        <f t="shared" si="1"/>
        <v>-81677.053000727319</v>
      </c>
      <c r="L17" s="48">
        <f t="shared" si="1"/>
        <v>-81677.053000727319</v>
      </c>
      <c r="M17" s="383">
        <f t="shared" si="1"/>
        <v>-456170.64768540097</v>
      </c>
    </row>
    <row r="18" spans="2:13" x14ac:dyDescent="0.2">
      <c r="B18" s="223" t="s">
        <v>426</v>
      </c>
      <c r="C18" s="49"/>
      <c r="D18" s="48"/>
      <c r="E18" s="48"/>
      <c r="F18" s="48"/>
      <c r="G18" s="48"/>
      <c r="H18" s="48"/>
      <c r="I18" s="212"/>
      <c r="J18" s="212"/>
      <c r="K18" s="212"/>
      <c r="L18" s="212"/>
      <c r="M18" s="213">
        <f>-C16</f>
        <v>-374493.59468467365</v>
      </c>
    </row>
    <row r="19" spans="2:13" x14ac:dyDescent="0.2">
      <c r="B19" s="223" t="s">
        <v>429</v>
      </c>
      <c r="C19" s="49"/>
      <c r="D19" s="48">
        <f>-C16*$C$11</f>
        <v>-81677.053000727319</v>
      </c>
      <c r="E19" s="48">
        <f>-D16*$C$11</f>
        <v>-81677.053000727319</v>
      </c>
      <c r="F19" s="48">
        <f t="shared" ref="F19:M19" si="2">-E16*$C$11</f>
        <v>-81677.053000727319</v>
      </c>
      <c r="G19" s="48">
        <f t="shared" si="2"/>
        <v>-81677.053000727319</v>
      </c>
      <c r="H19" s="48">
        <f t="shared" si="2"/>
        <v>-81677.053000727319</v>
      </c>
      <c r="I19" s="212">
        <f t="shared" si="2"/>
        <v>-81677.053000727319</v>
      </c>
      <c r="J19" s="212">
        <f t="shared" si="2"/>
        <v>-81677.053000727319</v>
      </c>
      <c r="K19" s="212">
        <f t="shared" si="2"/>
        <v>-81677.053000727319</v>
      </c>
      <c r="L19" s="212">
        <f t="shared" si="2"/>
        <v>-81677.053000727319</v>
      </c>
      <c r="M19" s="213">
        <f t="shared" si="2"/>
        <v>-81677.053000727319</v>
      </c>
    </row>
    <row r="20" spans="2:13" x14ac:dyDescent="0.2">
      <c r="B20" s="224" t="s">
        <v>427</v>
      </c>
      <c r="C20" s="222"/>
      <c r="D20" s="188">
        <f>-D19*$F$10</f>
        <v>24503.115900218196</v>
      </c>
      <c r="E20" s="188">
        <f t="shared" ref="E20:M20" si="3">-E19*$F$10</f>
        <v>24503.115900218196</v>
      </c>
      <c r="F20" s="188">
        <f t="shared" si="3"/>
        <v>24503.115900218196</v>
      </c>
      <c r="G20" s="188">
        <f t="shared" si="3"/>
        <v>24503.115900218196</v>
      </c>
      <c r="H20" s="188">
        <f t="shared" si="3"/>
        <v>24503.115900218196</v>
      </c>
      <c r="I20" s="214">
        <f t="shared" si="3"/>
        <v>24503.115900218196</v>
      </c>
      <c r="J20" s="214">
        <f t="shared" si="3"/>
        <v>24503.115900218196</v>
      </c>
      <c r="K20" s="214">
        <f t="shared" si="3"/>
        <v>24503.115900218196</v>
      </c>
      <c r="L20" s="214">
        <f t="shared" si="3"/>
        <v>24503.115900218196</v>
      </c>
      <c r="M20" s="215">
        <f t="shared" si="3"/>
        <v>24503.115900218196</v>
      </c>
    </row>
    <row r="21" spans="2:13" x14ac:dyDescent="0.2">
      <c r="B21" s="16" t="s">
        <v>434</v>
      </c>
      <c r="C21" s="29">
        <f>C16</f>
        <v>374493.59468467365</v>
      </c>
      <c r="D21" s="50">
        <f>SUM(D18:D20)</f>
        <v>-57173.937100509123</v>
      </c>
      <c r="E21" s="50">
        <f t="shared" ref="E21:M21" si="4">SUM(E18:E20)</f>
        <v>-57173.937100509123</v>
      </c>
      <c r="F21" s="50">
        <f t="shared" si="4"/>
        <v>-57173.937100509123</v>
      </c>
      <c r="G21" s="50">
        <f t="shared" si="4"/>
        <v>-57173.937100509123</v>
      </c>
      <c r="H21" s="50">
        <f t="shared" si="4"/>
        <v>-57173.937100509123</v>
      </c>
      <c r="I21" s="216">
        <f t="shared" si="4"/>
        <v>-57173.937100509123</v>
      </c>
      <c r="J21" s="216">
        <f t="shared" si="4"/>
        <v>-57173.937100509123</v>
      </c>
      <c r="K21" s="216">
        <f t="shared" si="4"/>
        <v>-57173.937100509123</v>
      </c>
      <c r="L21" s="216">
        <f t="shared" si="4"/>
        <v>-57173.937100509123</v>
      </c>
      <c r="M21" s="217">
        <f t="shared" si="4"/>
        <v>-431667.53178518277</v>
      </c>
    </row>
    <row r="30" spans="2:13" ht="15" x14ac:dyDescent="0.25">
      <c r="B30" s="1"/>
      <c r="C30" s="1"/>
    </row>
    <row r="31" spans="2:13" ht="15" x14ac:dyDescent="0.25">
      <c r="B31" s="1"/>
      <c r="C31" s="2"/>
    </row>
    <row r="32" spans="2:13" ht="15" x14ac:dyDescent="0.25">
      <c r="B32" s="1"/>
      <c r="C32" s="1"/>
    </row>
    <row r="33" spans="2:3" ht="15" x14ac:dyDescent="0.25">
      <c r="B33" s="1"/>
      <c r="C33" s="1"/>
    </row>
    <row r="34" spans="2:3" ht="15" x14ac:dyDescent="0.25">
      <c r="B34" s="1"/>
      <c r="C34" s="1"/>
    </row>
    <row r="35" spans="2:3" ht="15" x14ac:dyDescent="0.25">
      <c r="B35" s="1"/>
      <c r="C35" s="1"/>
    </row>
    <row r="36" spans="2:3" ht="15" x14ac:dyDescent="0.25">
      <c r="B36" s="1"/>
      <c r="C36" s="1"/>
    </row>
    <row r="37" spans="2:3" ht="15" x14ac:dyDescent="0.25">
      <c r="B37" s="1"/>
      <c r="C37" s="1"/>
    </row>
    <row r="38" spans="2:3" ht="15" x14ac:dyDescent="0.25">
      <c r="B38" s="1"/>
      <c r="C38" s="1"/>
    </row>
    <row r="39" spans="2:3" ht="15" x14ac:dyDescent="0.25">
      <c r="B39" s="1"/>
      <c r="C39" s="1"/>
    </row>
  </sheetData>
  <mergeCells count="1">
    <mergeCell ref="B2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82"/>
  <sheetViews>
    <sheetView topLeftCell="A36" zoomScale="55" zoomScaleNormal="55" workbookViewId="0">
      <selection activeCell="A62" sqref="A62"/>
    </sheetView>
  </sheetViews>
  <sheetFormatPr baseColWidth="10" defaultColWidth="11" defaultRowHeight="15" x14ac:dyDescent="0.25"/>
  <cols>
    <col min="1" max="1" width="7.85546875" style="3" customWidth="1"/>
    <col min="2" max="2" width="44.42578125" style="3" customWidth="1"/>
    <col min="3" max="14" width="15.5703125" style="3" customWidth="1"/>
    <col min="15" max="16384" width="11" style="3"/>
  </cols>
  <sheetData>
    <row r="3" spans="2:15" x14ac:dyDescent="0.25">
      <c r="B3" s="751" t="s">
        <v>66</v>
      </c>
      <c r="C3" s="752"/>
      <c r="D3" s="752"/>
      <c r="E3" s="752"/>
      <c r="F3" s="752"/>
      <c r="G3" s="752"/>
      <c r="H3" s="752"/>
      <c r="I3" s="752"/>
      <c r="J3" s="752"/>
      <c r="K3" s="752"/>
      <c r="L3" s="752"/>
      <c r="M3" s="753"/>
    </row>
    <row r="4" spans="2:15" x14ac:dyDescent="0.25">
      <c r="B4" s="754"/>
      <c r="C4" s="755"/>
      <c r="D4" s="755"/>
      <c r="E4" s="755"/>
      <c r="F4" s="755"/>
      <c r="G4" s="755"/>
      <c r="H4" s="755"/>
      <c r="I4" s="755"/>
      <c r="J4" s="755"/>
      <c r="K4" s="755"/>
      <c r="L4" s="755"/>
      <c r="M4" s="756"/>
    </row>
    <row r="5" spans="2:15" x14ac:dyDescent="0.25">
      <c r="B5" s="757" t="s">
        <v>65</v>
      </c>
      <c r="C5" s="758"/>
      <c r="D5" s="758"/>
      <c r="E5" s="758"/>
      <c r="F5" s="758"/>
      <c r="G5" s="758"/>
      <c r="H5" s="758"/>
      <c r="I5" s="758"/>
      <c r="J5" s="758"/>
      <c r="K5" s="758"/>
      <c r="L5" s="758"/>
      <c r="M5" s="759"/>
    </row>
    <row r="7" spans="2:15" x14ac:dyDescent="0.25">
      <c r="B7" s="263" t="s">
        <v>60</v>
      </c>
      <c r="C7" s="264">
        <v>0.3</v>
      </c>
      <c r="G7" s="265">
        <v>0.33500000000000002</v>
      </c>
      <c r="O7" s="111"/>
    </row>
    <row r="8" spans="2:15" x14ac:dyDescent="0.25">
      <c r="O8" s="111"/>
    </row>
    <row r="9" spans="2:15" x14ac:dyDescent="0.25">
      <c r="B9" s="749" t="s">
        <v>29</v>
      </c>
      <c r="C9" s="749" t="s">
        <v>37</v>
      </c>
      <c r="D9" s="749" t="s">
        <v>38</v>
      </c>
      <c r="E9" s="749" t="s">
        <v>40</v>
      </c>
      <c r="F9" s="749" t="s">
        <v>41</v>
      </c>
      <c r="G9" s="749" t="s">
        <v>42</v>
      </c>
      <c r="H9" s="749" t="s">
        <v>43</v>
      </c>
      <c r="I9" s="749" t="s">
        <v>44</v>
      </c>
      <c r="J9" s="749" t="s">
        <v>45</v>
      </c>
      <c r="K9" s="749" t="s">
        <v>46</v>
      </c>
      <c r="L9" s="749" t="s">
        <v>47</v>
      </c>
      <c r="M9" s="749" t="s">
        <v>48</v>
      </c>
      <c r="O9" s="112"/>
    </row>
    <row r="10" spans="2:15" x14ac:dyDescent="0.25">
      <c r="B10" s="750"/>
      <c r="C10" s="750"/>
      <c r="D10" s="750"/>
      <c r="E10" s="750"/>
      <c r="F10" s="750"/>
      <c r="G10" s="750"/>
      <c r="H10" s="750"/>
      <c r="I10" s="750"/>
      <c r="J10" s="750"/>
      <c r="K10" s="750"/>
      <c r="L10" s="750"/>
      <c r="M10" s="750"/>
    </row>
    <row r="11" spans="2:15" ht="17.100000000000001" customHeight="1" x14ac:dyDescent="0.25">
      <c r="B11" s="247" t="s">
        <v>30</v>
      </c>
      <c r="C11" s="250"/>
      <c r="D11" s="251">
        <f>SUM(D12:D15)</f>
        <v>1599239.607414285</v>
      </c>
      <c r="E11" s="251">
        <f t="shared" ref="E11:M11" si="0">SUM(E12:E15)</f>
        <v>1784546.3692800493</v>
      </c>
      <c r="F11" s="251">
        <f t="shared" si="0"/>
        <v>1902009.3620280642</v>
      </c>
      <c r="G11" s="251">
        <f t="shared" si="0"/>
        <v>2033412.6398107067</v>
      </c>
      <c r="H11" s="251">
        <f t="shared" si="0"/>
        <v>2174234.6555127101</v>
      </c>
      <c r="I11" s="251">
        <f t="shared" si="0"/>
        <v>2323962.0089240242</v>
      </c>
      <c r="J11" s="251">
        <f t="shared" si="0"/>
        <v>2484736.20927752</v>
      </c>
      <c r="K11" s="251">
        <f t="shared" si="0"/>
        <v>2657068.67145237</v>
      </c>
      <c r="L11" s="251">
        <f t="shared" si="0"/>
        <v>2840776.270386239</v>
      </c>
      <c r="M11" s="252">
        <f t="shared" si="0"/>
        <v>3037425.6046353104</v>
      </c>
    </row>
    <row r="12" spans="2:15" ht="17.100000000000001" customHeight="1" x14ac:dyDescent="0.25">
      <c r="B12" s="248" t="s">
        <v>27</v>
      </c>
      <c r="C12" s="219"/>
      <c r="D12" s="93">
        <f>'INGRESOS AFILIACIONES'!F66+'INGRESOS AFILIACIONES'!F67</f>
        <v>1362462.4454237139</v>
      </c>
      <c r="E12" s="93">
        <f>'INGRESOS AFILIACIONES'!G66+'INGRESOS AFILIACIONES'!G67</f>
        <v>1457751.7318005222</v>
      </c>
      <c r="F12" s="93">
        <f>'INGRESOS AFILIACIONES'!H66+'INGRESOS AFILIACIONES'!H67</f>
        <v>1559794.3530265591</v>
      </c>
      <c r="G12" s="93">
        <f>'INGRESOS AFILIACIONES'!I66+'INGRESOS AFILIACIONES'!I67</f>
        <v>1668979.9577384184</v>
      </c>
      <c r="H12" s="93">
        <f>'INGRESOS AFILIACIONES'!J66+'INGRESOS AFILIACIONES'!J67</f>
        <v>1785808.5547801072</v>
      </c>
      <c r="I12" s="93">
        <f>'INGRESOS AFILIACIONES'!K66+'INGRESOS AFILIACIONES'!K67</f>
        <v>1910815.1536147152</v>
      </c>
      <c r="J12" s="93">
        <f>'INGRESOS AFILIACIONES'!L66+'INGRESOS AFILIACIONES'!L67</f>
        <v>2044572.2143677459</v>
      </c>
      <c r="K12" s="93">
        <f>'INGRESOS AFILIACIONES'!M66+'INGRESOS AFILIACIONES'!M67</f>
        <v>2187692.2693734877</v>
      </c>
      <c r="L12" s="93">
        <f>'INGRESOS AFILIACIONES'!N66+'INGRESOS AFILIACIONES'!N67</f>
        <v>2340830.7282296321</v>
      </c>
      <c r="M12" s="94">
        <f>'INGRESOS AFILIACIONES'!O66+'INGRESOS AFILIACIONES'!O67</f>
        <v>2504688.8792057065</v>
      </c>
    </row>
    <row r="13" spans="2:15" ht="17.100000000000001" customHeight="1" x14ac:dyDescent="0.25">
      <c r="B13" s="248" t="s">
        <v>28</v>
      </c>
      <c r="C13" s="219"/>
      <c r="D13" s="93">
        <f>'INGRESOS AFILIACIONES'!F68</f>
        <v>199519.08063463896</v>
      </c>
      <c r="E13" s="93">
        <f>'INGRESOS AFILIACIONES'!G68</f>
        <v>288783.67476766265</v>
      </c>
      <c r="F13" s="93">
        <f>'INGRESOS AFILIACIONES'!H68</f>
        <v>303593.87679811509</v>
      </c>
      <c r="G13" s="93">
        <f>'INGRESOS AFILIACIONES'!I68</f>
        <v>324845.44817398314</v>
      </c>
      <c r="H13" s="93">
        <f>'INGRESOS AFILIACIONES'!J68</f>
        <v>347584.62954616203</v>
      </c>
      <c r="I13" s="93">
        <f>'INGRESOS AFILIACIONES'!K68</f>
        <v>371915.5536143934</v>
      </c>
      <c r="J13" s="93">
        <f>'INGRESOS AFILIACIONES'!L68</f>
        <v>397949.64236740099</v>
      </c>
      <c r="K13" s="93">
        <f>'INGRESOS AFILIACIONES'!M68</f>
        <v>425806.11733311909</v>
      </c>
      <c r="L13" s="93">
        <f>'INGRESOS AFILIACIONES'!N68</f>
        <v>455612.54554643738</v>
      </c>
      <c r="M13" s="94">
        <f>'INGRESOS AFILIACIONES'!O68</f>
        <v>487505.42373468803</v>
      </c>
    </row>
    <row r="14" spans="2:15" ht="17.100000000000001" customHeight="1" x14ac:dyDescent="0.25">
      <c r="B14" s="248" t="s">
        <v>3</v>
      </c>
      <c r="C14" s="219"/>
      <c r="D14" s="93">
        <f>'OTROS INGRESOS'!D124</f>
        <v>30265.199999999997</v>
      </c>
      <c r="E14" s="93">
        <f>'OTROS INGRESOS'!E124</f>
        <v>30265.199999999997</v>
      </c>
      <c r="F14" s="93">
        <f>'OTROS INGRESOS'!F124</f>
        <v>30265.199999999997</v>
      </c>
      <c r="G14" s="93">
        <f>'OTROS INGRESOS'!G124</f>
        <v>30265.199999999997</v>
      </c>
      <c r="H14" s="93">
        <f>'OTROS INGRESOS'!H124</f>
        <v>30265.199999999997</v>
      </c>
      <c r="I14" s="93">
        <f>'OTROS INGRESOS'!I124</f>
        <v>30265.199999999997</v>
      </c>
      <c r="J14" s="93">
        <f>'OTROS INGRESOS'!J124</f>
        <v>30265.199999999997</v>
      </c>
      <c r="K14" s="93">
        <f>'OTROS INGRESOS'!K124</f>
        <v>30265.199999999997</v>
      </c>
      <c r="L14" s="93">
        <f>'OTROS INGRESOS'!L124</f>
        <v>30265.199999999997</v>
      </c>
      <c r="M14" s="94">
        <f>'OTROS INGRESOS'!M124</f>
        <v>30265.199999999997</v>
      </c>
    </row>
    <row r="15" spans="2:15" ht="17.100000000000001" customHeight="1" x14ac:dyDescent="0.25">
      <c r="B15" s="248" t="s">
        <v>418</v>
      </c>
      <c r="C15" s="219"/>
      <c r="D15" s="93">
        <f>'OTROS INGRESOS'!D99</f>
        <v>6992.8813559322034</v>
      </c>
      <c r="E15" s="93">
        <f>'OTROS INGRESOS'!E99</f>
        <v>7745.7627118644059</v>
      </c>
      <c r="F15" s="93">
        <f>'OTROS INGRESOS'!F99</f>
        <v>8355.9322033898297</v>
      </c>
      <c r="G15" s="93">
        <f>'OTROS INGRESOS'!G99</f>
        <v>9322.0338983050842</v>
      </c>
      <c r="H15" s="93">
        <f>'OTROS INGRESOS'!H99</f>
        <v>10576.271186440677</v>
      </c>
      <c r="I15" s="93">
        <f>'OTROS INGRESOS'!I99</f>
        <v>10966.101694915254</v>
      </c>
      <c r="J15" s="93">
        <f>'OTROS INGRESOS'!J99</f>
        <v>11949.15254237288</v>
      </c>
      <c r="K15" s="93">
        <f>'OTROS INGRESOS'!K99</f>
        <v>13305.08474576271</v>
      </c>
      <c r="L15" s="93">
        <f>'OTROS INGRESOS'!L99</f>
        <v>14067.796610169493</v>
      </c>
      <c r="M15" s="94">
        <f>'OTROS INGRESOS'!M99</f>
        <v>14966.101694915253</v>
      </c>
    </row>
    <row r="16" spans="2:15" ht="17.100000000000001" customHeight="1" x14ac:dyDescent="0.25">
      <c r="B16" s="249" t="s">
        <v>31</v>
      </c>
      <c r="C16" s="253"/>
      <c r="D16" s="254">
        <f t="shared" ref="D16:M16" si="1">SUM(D17:D19)</f>
        <v>71419.153592619463</v>
      </c>
      <c r="E16" s="254">
        <f t="shared" si="1"/>
        <v>78833.655167033168</v>
      </c>
      <c r="F16" s="254">
        <f t="shared" si="1"/>
        <v>84180.290482002616</v>
      </c>
      <c r="G16" s="254">
        <f t="shared" si="1"/>
        <v>90081.315976759768</v>
      </c>
      <c r="H16" s="254">
        <f t="shared" si="1"/>
        <v>96400.275468014312</v>
      </c>
      <c r="I16" s="254">
        <f t="shared" si="1"/>
        <v>103140.56603891091</v>
      </c>
      <c r="J16" s="254">
        <f t="shared" si="1"/>
        <v>110365.15575485502</v>
      </c>
      <c r="K16" s="254">
        <f t="shared" si="1"/>
        <v>118102.17144583049</v>
      </c>
      <c r="L16" s="254">
        <f t="shared" si="1"/>
        <v>126365.60484534371</v>
      </c>
      <c r="M16" s="255">
        <f t="shared" si="1"/>
        <v>135209.29116756862</v>
      </c>
    </row>
    <row r="17" spans="1:15" ht="17.100000000000001" customHeight="1" x14ac:dyDescent="0.25">
      <c r="B17" s="248" t="s">
        <v>4</v>
      </c>
      <c r="C17" s="219"/>
      <c r="D17" s="93">
        <f>'COSTO VARIABLE'!E15</f>
        <v>22432.127487702099</v>
      </c>
      <c r="E17" s="93">
        <f>'COSTO VARIABLE'!F15</f>
        <v>24754.112724684455</v>
      </c>
      <c r="F17" s="93">
        <f>'COSTO VARIABLE'!G15</f>
        <v>26432.854063379535</v>
      </c>
      <c r="G17" s="93">
        <f>'COSTO VARIABLE'!H15</f>
        <v>28283.153847816102</v>
      </c>
      <c r="H17" s="93">
        <f>'COSTO VARIABLE'!I15</f>
        <v>30262.974617163236</v>
      </c>
      <c r="I17" s="93">
        <f>'COSTO VARIABLE'!J15</f>
        <v>32381.382840364662</v>
      </c>
      <c r="J17" s="93">
        <f>'COSTO VARIABLE'!K15</f>
        <v>34648.079639190197</v>
      </c>
      <c r="K17" s="93">
        <f>'COSTO VARIABLE'!L15</f>
        <v>37073.445213933504</v>
      </c>
      <c r="L17" s="93">
        <f>'COSTO VARIABLE'!M15</f>
        <v>39668.586378908862</v>
      </c>
      <c r="M17" s="94">
        <f>'COSTO VARIABLE'!N15</f>
        <v>42445.387425432476</v>
      </c>
    </row>
    <row r="18" spans="1:15" ht="17.100000000000001" customHeight="1" x14ac:dyDescent="0.25">
      <c r="B18" s="248" t="s">
        <v>32</v>
      </c>
      <c r="C18" s="219"/>
      <c r="D18" s="93">
        <f>'COSTO VARIABLE'!E30</f>
        <v>34595.885683484987</v>
      </c>
      <c r="E18" s="93">
        <f>'COSTO VARIABLE'!F30</f>
        <v>38681.899782625092</v>
      </c>
      <c r="F18" s="93">
        <f>'COSTO VARIABLE'!G30</f>
        <v>41271.958772718812</v>
      </c>
      <c r="G18" s="93">
        <f>'COSTO VARIABLE'!H30</f>
        <v>44169.401047826083</v>
      </c>
      <c r="H18" s="93">
        <f>'COSTO VARIABLE'!I30</f>
        <v>47274.526494055273</v>
      </c>
      <c r="I18" s="93">
        <f>'COSTO VARIABLE'!J30</f>
        <v>50576.014636774729</v>
      </c>
      <c r="J18" s="93">
        <f>'COSTO VARIABLE'!K30</f>
        <v>54121.085754569307</v>
      </c>
      <c r="K18" s="93">
        <f>'COSTO VARIABLE'!L30</f>
        <v>57921.016545524755</v>
      </c>
      <c r="L18" s="93">
        <f>'COSTO VARIABLE'!M30</f>
        <v>61971.769102016573</v>
      </c>
      <c r="M18" s="94">
        <f>'COSTO VARIABLE'!N30</f>
        <v>66307.886922208578</v>
      </c>
    </row>
    <row r="19" spans="1:15" ht="17.100000000000001" customHeight="1" x14ac:dyDescent="0.25">
      <c r="B19" s="248" t="s">
        <v>148</v>
      </c>
      <c r="C19" s="219"/>
      <c r="D19" s="93">
        <f>'COSTO VARIABLE'!E43</f>
        <v>14391.140421432379</v>
      </c>
      <c r="E19" s="93">
        <f>'COSTO VARIABLE'!F43</f>
        <v>15397.642659723622</v>
      </c>
      <c r="F19" s="93">
        <f>'COSTO VARIABLE'!G43</f>
        <v>16475.477645904277</v>
      </c>
      <c r="G19" s="93">
        <f>'COSTO VARIABLE'!H43</f>
        <v>17628.76108111758</v>
      </c>
      <c r="H19" s="93">
        <f>'COSTO VARIABLE'!I43</f>
        <v>18862.774356795813</v>
      </c>
      <c r="I19" s="93">
        <f>'COSTO VARIABLE'!J43</f>
        <v>20183.168561771519</v>
      </c>
      <c r="J19" s="93">
        <f>'COSTO VARIABLE'!K43</f>
        <v>21595.99036109553</v>
      </c>
      <c r="K19" s="93">
        <f>'COSTO VARIABLE'!L43</f>
        <v>23107.709686372218</v>
      </c>
      <c r="L19" s="93">
        <f>'COSTO VARIABLE'!M43</f>
        <v>24725.249364418272</v>
      </c>
      <c r="M19" s="95">
        <f>'COSTO VARIABLE'!N43</f>
        <v>26456.016819927554</v>
      </c>
    </row>
    <row r="20" spans="1:15" ht="17.100000000000001" customHeight="1" x14ac:dyDescent="0.25">
      <c r="B20" s="96" t="s">
        <v>33</v>
      </c>
      <c r="C20" s="115"/>
      <c r="D20" s="97">
        <f t="shared" ref="D20:M20" si="2">D11-D16</f>
        <v>1527820.4538216656</v>
      </c>
      <c r="E20" s="97">
        <f t="shared" si="2"/>
        <v>1705712.7141130161</v>
      </c>
      <c r="F20" s="97">
        <f t="shared" si="2"/>
        <v>1817829.0715460617</v>
      </c>
      <c r="G20" s="97">
        <f t="shared" si="2"/>
        <v>1943331.3238339471</v>
      </c>
      <c r="H20" s="97">
        <f t="shared" si="2"/>
        <v>2077834.3800446957</v>
      </c>
      <c r="I20" s="97">
        <f t="shared" si="2"/>
        <v>2220821.4428851134</v>
      </c>
      <c r="J20" s="97">
        <f t="shared" si="2"/>
        <v>2374371.0535226651</v>
      </c>
      <c r="K20" s="97">
        <f t="shared" si="2"/>
        <v>2538966.5000065397</v>
      </c>
      <c r="L20" s="97">
        <f t="shared" si="2"/>
        <v>2714410.6655408954</v>
      </c>
      <c r="M20" s="98">
        <f t="shared" si="2"/>
        <v>2902216.3134677419</v>
      </c>
    </row>
    <row r="21" spans="1:15" ht="17.100000000000001" customHeight="1" x14ac:dyDescent="0.25">
      <c r="B21" s="99" t="s">
        <v>33</v>
      </c>
      <c r="C21" s="100"/>
      <c r="D21" s="100">
        <f t="shared" ref="D21:M21" si="3">IFERROR(D20/D11,0)</f>
        <v>0.95534180540457425</v>
      </c>
      <c r="E21" s="100">
        <f t="shared" si="3"/>
        <v>0.95582426070618853</v>
      </c>
      <c r="F21" s="100">
        <f t="shared" si="3"/>
        <v>0.95574139004644898</v>
      </c>
      <c r="G21" s="100">
        <f t="shared" si="3"/>
        <v>0.95569944131696483</v>
      </c>
      <c r="H21" s="100">
        <f t="shared" si="3"/>
        <v>0.95566243265252249</v>
      </c>
      <c r="I21" s="100">
        <f t="shared" si="3"/>
        <v>0.95561865226589304</v>
      </c>
      <c r="J21" s="100">
        <f t="shared" si="3"/>
        <v>0.95558274743903482</v>
      </c>
      <c r="K21" s="100">
        <f t="shared" si="3"/>
        <v>0.95555170526274924</v>
      </c>
      <c r="L21" s="100">
        <f t="shared" si="3"/>
        <v>0.95551722739919864</v>
      </c>
      <c r="M21" s="101">
        <f t="shared" si="3"/>
        <v>0.95548556285255837</v>
      </c>
    </row>
    <row r="22" spans="1:15" ht="17.100000000000001" customHeight="1" x14ac:dyDescent="0.25">
      <c r="B22" s="249" t="s">
        <v>5</v>
      </c>
      <c r="C22" s="253"/>
      <c r="D22" s="254">
        <f t="shared" ref="D22:M22" si="4">SUM(D23:D33)</f>
        <v>1173557.9496355986</v>
      </c>
      <c r="E22" s="254">
        <f t="shared" si="4"/>
        <v>1250702.7590667494</v>
      </c>
      <c r="F22" s="254">
        <f t="shared" si="4"/>
        <v>1280598.7890859707</v>
      </c>
      <c r="G22" s="254">
        <f t="shared" si="4"/>
        <v>1315535.3410722204</v>
      </c>
      <c r="H22" s="254">
        <f t="shared" si="4"/>
        <v>1380172.0005056432</v>
      </c>
      <c r="I22" s="254">
        <f t="shared" si="4"/>
        <v>1397242.8352971002</v>
      </c>
      <c r="J22" s="254">
        <f t="shared" si="4"/>
        <v>1454582.3925580927</v>
      </c>
      <c r="K22" s="254">
        <f t="shared" si="4"/>
        <v>1501931.2731096637</v>
      </c>
      <c r="L22" s="254">
        <f t="shared" si="4"/>
        <v>1521270.7958704215</v>
      </c>
      <c r="M22" s="255">
        <f t="shared" si="4"/>
        <v>1541079.7214167586</v>
      </c>
      <c r="N22" s="189"/>
    </row>
    <row r="23" spans="1:15" ht="17.100000000000001" customHeight="1" x14ac:dyDescent="0.25">
      <c r="B23" s="248" t="s">
        <v>6</v>
      </c>
      <c r="C23" s="219"/>
      <c r="D23" s="93">
        <f>'COSTO FIJO'!AB10</f>
        <v>406195.92000000004</v>
      </c>
      <c r="E23" s="93">
        <f>'COSTO FIJO'!AC10</f>
        <v>419501.52</v>
      </c>
      <c r="F23" s="93">
        <f>'COSTO FIJO'!AD10</f>
        <v>433472.4</v>
      </c>
      <c r="G23" s="93">
        <f>'COSTO FIJO'!AE10</f>
        <v>448141.82400000002</v>
      </c>
      <c r="H23" s="93">
        <f>'COSTO FIJO'!AF10</f>
        <v>463544.71920000005</v>
      </c>
      <c r="I23" s="93">
        <f>'COSTO FIJO'!AG10</f>
        <v>479717.75916000013</v>
      </c>
      <c r="J23" s="93">
        <f>'COSTO FIJO'!AH10</f>
        <v>496699.45111800008</v>
      </c>
      <c r="K23" s="93">
        <f>'COSTO FIJO'!AI10</f>
        <v>514530.22767390008</v>
      </c>
      <c r="L23" s="93">
        <f>'COSTO FIJO'!AJ10</f>
        <v>533252.54305759515</v>
      </c>
      <c r="M23" s="94">
        <f>'COSTO FIJO'!AK10</f>
        <v>552910.97421047487</v>
      </c>
      <c r="N23" s="189"/>
    </row>
    <row r="24" spans="1:15" ht="17.100000000000001" customHeight="1" x14ac:dyDescent="0.25">
      <c r="B24" s="248" t="s">
        <v>7</v>
      </c>
      <c r="C24" s="219"/>
      <c r="D24" s="93">
        <f>'COSTO FIJO'!AB23+'COSTO FIJO'!AB42+'COSTO FIJO'!AB65+'COSTO FIJO'!AB73</f>
        <v>47186.04468474575</v>
      </c>
      <c r="E24" s="93">
        <f>'COSTO FIJO'!AC23+'COSTO FIJO'!AC42+'COSTO FIJO'!AC65+'COSTO FIJO'!AC73</f>
        <v>47186.04468474575</v>
      </c>
      <c r="F24" s="93">
        <f>'COSTO FIJO'!AD23+'COSTO FIJO'!AD42+'COSTO FIJO'!AD65+'COSTO FIJO'!AD73</f>
        <v>47240.281972881348</v>
      </c>
      <c r="G24" s="93">
        <f>'COSTO FIJO'!AE23+'COSTO FIJO'!AE42+'COSTO FIJO'!AE65+'COSTO FIJO'!AE73</f>
        <v>47240.281972881348</v>
      </c>
      <c r="H24" s="93">
        <f>'COSTO FIJO'!AF23+'COSTO FIJO'!AF42+'COSTO FIJO'!AF65+'COSTO FIJO'!AF73</f>
        <v>47294.51926101694</v>
      </c>
      <c r="I24" s="93">
        <f>'COSTO FIJO'!AG23+'COSTO FIJO'!AG42+'COSTO FIJO'!AG65+'COSTO FIJO'!AG73</f>
        <v>47294.51926101694</v>
      </c>
      <c r="J24" s="93">
        <f>'COSTO FIJO'!AH23+'COSTO FIJO'!AH42+'COSTO FIJO'!AH65+'COSTO FIJO'!AH73</f>
        <v>47294.51926101694</v>
      </c>
      <c r="K24" s="93">
        <f>'COSTO FIJO'!AI23+'COSTO FIJO'!AI42+'COSTO FIJO'!AI65+'COSTO FIJO'!AI73</f>
        <v>47348.756549152531</v>
      </c>
      <c r="L24" s="93">
        <f>'COSTO FIJO'!AJ23+'COSTO FIJO'!AJ42+'COSTO FIJO'!AJ65+'COSTO FIJO'!AJ73</f>
        <v>47348.756549152531</v>
      </c>
      <c r="M24" s="94">
        <f>'COSTO FIJO'!AK23+'COSTO FIJO'!AK42+'COSTO FIJO'!AK65+'COSTO FIJO'!AK73</f>
        <v>47348.756549152531</v>
      </c>
      <c r="N24" s="189"/>
    </row>
    <row r="25" spans="1:15" ht="17.100000000000001" customHeight="1" x14ac:dyDescent="0.25">
      <c r="B25" s="248" t="s">
        <v>632</v>
      </c>
      <c r="C25" s="219"/>
      <c r="D25" s="93">
        <f>'COSTO FIJO'!D178</f>
        <v>511164.71145085292</v>
      </c>
      <c r="E25" s="93">
        <f>'COSTO FIJO'!E178</f>
        <v>556553.0108820037</v>
      </c>
      <c r="F25" s="93">
        <f>'COSTO FIJO'!F178</f>
        <v>571783.9236130896</v>
      </c>
      <c r="G25" s="93">
        <f>'COSTO FIJO'!G178</f>
        <v>592051.05159933912</v>
      </c>
      <c r="H25" s="93">
        <f>'COSTO FIJO'!H178</f>
        <v>641171.87854462618</v>
      </c>
      <c r="I25" s="93">
        <f>'COSTO FIJO'!I178</f>
        <v>642508.12337608344</v>
      </c>
      <c r="J25" s="93">
        <f>'COSTO FIJO'!J178</f>
        <v>681846.23867907585</v>
      </c>
      <c r="K25" s="93">
        <f>'COSTO FIJO'!K178</f>
        <v>710670.10538661119</v>
      </c>
      <c r="L25" s="93">
        <f>'COSTO FIJO'!L178</f>
        <v>712307.06276367395</v>
      </c>
      <c r="M25" s="94">
        <f>'COSTO FIJO'!M178</f>
        <v>714058.60715713119</v>
      </c>
      <c r="N25" s="189"/>
    </row>
    <row r="26" spans="1:15" ht="17.100000000000001" customHeight="1" x14ac:dyDescent="0.25">
      <c r="B26" s="248" t="s">
        <v>633</v>
      </c>
      <c r="C26" s="219"/>
      <c r="D26" s="93">
        <f>'COSTO FIJO'!$G$181</f>
        <v>117000</v>
      </c>
      <c r="E26" s="93">
        <f>'COSTO FIJO'!$G$181</f>
        <v>117000</v>
      </c>
      <c r="F26" s="93">
        <f>'COSTO FIJO'!$G$181</f>
        <v>117000</v>
      </c>
      <c r="G26" s="93">
        <f>'COSTO FIJO'!$G$181</f>
        <v>117000</v>
      </c>
      <c r="H26" s="93">
        <f>'COSTO FIJO'!$G$181</f>
        <v>117000</v>
      </c>
      <c r="I26" s="93">
        <f>'COSTO FIJO'!$G$181</f>
        <v>117000</v>
      </c>
      <c r="J26" s="93">
        <f>'COSTO FIJO'!$G$181</f>
        <v>117000</v>
      </c>
      <c r="K26" s="93">
        <f>'COSTO FIJO'!$G$181</f>
        <v>117000</v>
      </c>
      <c r="L26" s="93">
        <f>'COSTO FIJO'!$G$181</f>
        <v>117000</v>
      </c>
      <c r="M26" s="94">
        <f>'COSTO FIJO'!$G$181</f>
        <v>117000</v>
      </c>
      <c r="N26" s="189"/>
    </row>
    <row r="27" spans="1:15" ht="17.100000000000001" customHeight="1" x14ac:dyDescent="0.25">
      <c r="B27" s="248" t="s">
        <v>634</v>
      </c>
      <c r="C27" s="219"/>
      <c r="D27" s="93">
        <f>'COSTO FIJO'!$G$192</f>
        <v>42480</v>
      </c>
      <c r="E27" s="93">
        <f>'COSTO FIJO'!$G$192</f>
        <v>42480</v>
      </c>
      <c r="F27" s="93">
        <f>'COSTO FIJO'!$G$192</f>
        <v>42480</v>
      </c>
      <c r="G27" s="93">
        <f>'COSTO FIJO'!$G$192</f>
        <v>42480</v>
      </c>
      <c r="H27" s="93">
        <f>'COSTO FIJO'!$G$192</f>
        <v>42480</v>
      </c>
      <c r="I27" s="93">
        <f>'COSTO FIJO'!$G$192</f>
        <v>42480</v>
      </c>
      <c r="J27" s="93">
        <f>'COSTO FIJO'!$G$192</f>
        <v>42480</v>
      </c>
      <c r="K27" s="93">
        <f>'COSTO FIJO'!$G$192</f>
        <v>42480</v>
      </c>
      <c r="L27" s="93">
        <f>'COSTO FIJO'!$G$192</f>
        <v>42480</v>
      </c>
      <c r="M27" s="94">
        <f>'COSTO FIJO'!$G$192</f>
        <v>42480</v>
      </c>
      <c r="N27" s="189"/>
      <c r="O27" s="111"/>
    </row>
    <row r="28" spans="1:15" ht="17.100000000000001" customHeight="1" x14ac:dyDescent="0.25">
      <c r="B28" s="248" t="s">
        <v>706</v>
      </c>
      <c r="C28" s="219"/>
      <c r="D28" s="93">
        <f>'COSTO FIJO'!J270+'COSTO FIJO'!J271</f>
        <v>5531.3600000000006</v>
      </c>
      <c r="E28" s="93">
        <f>'COSTO FIJO'!K270+'COSTO FIJO'!K271</f>
        <v>8412.7200000000012</v>
      </c>
      <c r="F28" s="93">
        <f>'COSTO FIJO'!L270+'COSTO FIJO'!L271</f>
        <v>8412.7200000000012</v>
      </c>
      <c r="G28" s="93">
        <f>'COSTO FIJO'!M270+'COSTO FIJO'!M271</f>
        <v>8412.7200000000012</v>
      </c>
      <c r="H28" s="93">
        <f>'COSTO FIJO'!N270+'COSTO FIJO'!N271</f>
        <v>8412.7200000000012</v>
      </c>
      <c r="I28" s="93">
        <f>'COSTO FIJO'!O270+'COSTO FIJO'!O271</f>
        <v>8412.7200000000012</v>
      </c>
      <c r="J28" s="93">
        <f>'COSTO FIJO'!P270+'COSTO FIJO'!P271</f>
        <v>8412.7200000000012</v>
      </c>
      <c r="K28" s="93">
        <f>'COSTO FIJO'!Q270+'COSTO FIJO'!Q271</f>
        <v>8412.7200000000012</v>
      </c>
      <c r="L28" s="93">
        <f>'COSTO FIJO'!R270+'COSTO FIJO'!R271</f>
        <v>8412.7200000000012</v>
      </c>
      <c r="M28" s="94">
        <f>'COSTO FIJO'!S270+'COSTO FIJO'!S271</f>
        <v>8412.7200000000012</v>
      </c>
      <c r="N28" s="189"/>
      <c r="O28" s="111"/>
    </row>
    <row r="29" spans="1:15" ht="17.100000000000001" customHeight="1" x14ac:dyDescent="0.25">
      <c r="B29" s="248" t="s">
        <v>636</v>
      </c>
      <c r="C29" s="219"/>
      <c r="D29" s="93">
        <f>'COSTO FIJO'!J269</f>
        <v>3200</v>
      </c>
      <c r="E29" s="93">
        <f>'COSTO FIJO'!K269</f>
        <v>14708.199999999999</v>
      </c>
      <c r="F29" s="93">
        <f>'COSTO FIJO'!L269</f>
        <v>15348.199999999999</v>
      </c>
      <c r="G29" s="93">
        <f>'COSTO FIJO'!M269</f>
        <v>15348.199999999999</v>
      </c>
      <c r="H29" s="93">
        <f>'COSTO FIJO'!N269</f>
        <v>15988.199999999999</v>
      </c>
      <c r="I29" s="93">
        <f>'COSTO FIJO'!O269</f>
        <v>15988.199999999999</v>
      </c>
      <c r="J29" s="93">
        <f>'COSTO FIJO'!P269</f>
        <v>15988.199999999999</v>
      </c>
      <c r="K29" s="93">
        <f>'COSTO FIJO'!Q269</f>
        <v>16628.199999999997</v>
      </c>
      <c r="L29" s="93">
        <f>'COSTO FIJO'!R269</f>
        <v>16628.199999999997</v>
      </c>
      <c r="M29" s="94">
        <f>'COSTO FIJO'!S269</f>
        <v>16628.199999999997</v>
      </c>
      <c r="N29" s="189"/>
      <c r="O29" s="111"/>
    </row>
    <row r="30" spans="1:15" ht="17.100000000000001" customHeight="1" x14ac:dyDescent="0.25">
      <c r="B30" s="248" t="s">
        <v>635</v>
      </c>
      <c r="C30" s="219"/>
      <c r="D30" s="93">
        <f>'COSTO FIJO'!J272+'COSTO FIJO'!J273</f>
        <v>470</v>
      </c>
      <c r="E30" s="93">
        <f>'COSTO FIJO'!K272+'COSTO FIJO'!K273</f>
        <v>1019.75</v>
      </c>
      <c r="F30" s="93">
        <f>'COSTO FIJO'!L272+'COSTO FIJO'!L273</f>
        <v>1019.75</v>
      </c>
      <c r="G30" s="93">
        <f>'COSTO FIJO'!M272+'COSTO FIJO'!M273</f>
        <v>1019.75</v>
      </c>
      <c r="H30" s="93">
        <f>'COSTO FIJO'!N272+'COSTO FIJO'!N273</f>
        <v>2039.5</v>
      </c>
      <c r="I30" s="93">
        <f>'COSTO FIJO'!O272+'COSTO FIJO'!O273</f>
        <v>0</v>
      </c>
      <c r="J30" s="93">
        <f>'COSTO FIJO'!P272+'COSTO FIJO'!P273</f>
        <v>1019.75</v>
      </c>
      <c r="K30" s="93">
        <f>'COSTO FIJO'!Q272+'COSTO FIJO'!Q273</f>
        <v>1019.75</v>
      </c>
      <c r="L30" s="93">
        <f>'COSTO FIJO'!R272+'COSTO FIJO'!R273</f>
        <v>0</v>
      </c>
      <c r="M30" s="94">
        <f>'COSTO FIJO'!S272+'COSTO FIJO'!S273</f>
        <v>0</v>
      </c>
      <c r="N30" s="189"/>
    </row>
    <row r="31" spans="1:15" ht="17.100000000000001" customHeight="1" x14ac:dyDescent="0.25">
      <c r="A31" s="189"/>
      <c r="B31" s="248" t="s">
        <v>638</v>
      </c>
      <c r="C31" s="219"/>
      <c r="D31" s="93">
        <f>'COSTO FIJO MARKETING'!J28</f>
        <v>8341.4699999999993</v>
      </c>
      <c r="E31" s="93">
        <f>'COSTO FIJO MARKETING'!K28</f>
        <v>11853.07</v>
      </c>
      <c r="F31" s="93">
        <f>'COSTO FIJO MARKETING'!L28</f>
        <v>11853.07</v>
      </c>
      <c r="G31" s="93">
        <f>'COSTO FIJO MARKETING'!M28</f>
        <v>11853.07</v>
      </c>
      <c r="H31" s="93">
        <f>'COSTO FIJO MARKETING'!N28</f>
        <v>11853.07</v>
      </c>
      <c r="I31" s="93">
        <f>'COSTO FIJO MARKETING'!O28</f>
        <v>11853.07</v>
      </c>
      <c r="J31" s="93">
        <f>'COSTO FIJO MARKETING'!P28</f>
        <v>11853.07</v>
      </c>
      <c r="K31" s="93">
        <f>'COSTO FIJO MARKETING'!Q28</f>
        <v>11853.07</v>
      </c>
      <c r="L31" s="93">
        <f>'COSTO FIJO MARKETING'!R28</f>
        <v>11853.07</v>
      </c>
      <c r="M31" s="94">
        <f>'COSTO FIJO MARKETING'!S28</f>
        <v>11853.07</v>
      </c>
      <c r="N31" s="189"/>
    </row>
    <row r="32" spans="1:15" ht="17.100000000000001" customHeight="1" x14ac:dyDescent="0.25">
      <c r="B32" s="248" t="s">
        <v>35</v>
      </c>
      <c r="C32" s="219"/>
      <c r="D32" s="93">
        <f>CAPEX!C142</f>
        <v>6221.8020000000015</v>
      </c>
      <c r="E32" s="93">
        <f>CAPEX!D142</f>
        <v>6221.8020000000015</v>
      </c>
      <c r="F32" s="93">
        <f>CAPEX!E142</f>
        <v>6221.8020000000015</v>
      </c>
      <c r="G32" s="93">
        <f>CAPEX!F142</f>
        <v>6221.8020000000015</v>
      </c>
      <c r="H32" s="93">
        <f>CAPEX!G142</f>
        <v>6221.8020000000015</v>
      </c>
      <c r="I32" s="93">
        <f>CAPEX!H142</f>
        <v>6221.8020000000015</v>
      </c>
      <c r="J32" s="93">
        <f>CAPEX!I142</f>
        <v>6221.8020000000015</v>
      </c>
      <c r="K32" s="93">
        <f>CAPEX!J142</f>
        <v>6221.8020000000015</v>
      </c>
      <c r="L32" s="93">
        <f>CAPEX!K142</f>
        <v>6221.8020000000015</v>
      </c>
      <c r="M32" s="94">
        <f>CAPEX!L142</f>
        <v>6221.8020000000015</v>
      </c>
      <c r="N32" s="189"/>
    </row>
    <row r="33" spans="1:14" ht="17.100000000000001" customHeight="1" x14ac:dyDescent="0.25">
      <c r="B33" s="248" t="s">
        <v>8</v>
      </c>
      <c r="C33" s="219"/>
      <c r="D33" s="93">
        <f>CAPEX!C125</f>
        <v>25766.641500000002</v>
      </c>
      <c r="E33" s="93">
        <f>CAPEX!D125</f>
        <v>25766.641500000002</v>
      </c>
      <c r="F33" s="93">
        <f>CAPEX!E125</f>
        <v>25766.641500000002</v>
      </c>
      <c r="G33" s="93">
        <f>CAPEX!F125</f>
        <v>25766.641500000002</v>
      </c>
      <c r="H33" s="93">
        <f>CAPEX!G125</f>
        <v>24165.591500000002</v>
      </c>
      <c r="I33" s="93">
        <f>CAPEX!H125</f>
        <v>25766.641500000002</v>
      </c>
      <c r="J33" s="93">
        <f>CAPEX!I125</f>
        <v>25766.641500000002</v>
      </c>
      <c r="K33" s="93">
        <f>CAPEX!J125</f>
        <v>25766.641500000002</v>
      </c>
      <c r="L33" s="93">
        <f>CAPEX!K125</f>
        <v>25766.641500000002</v>
      </c>
      <c r="M33" s="94">
        <f>CAPEX!L125</f>
        <v>24165.591500000002</v>
      </c>
      <c r="N33" s="189"/>
    </row>
    <row r="34" spans="1:14" ht="17.100000000000001" customHeight="1" x14ac:dyDescent="0.25">
      <c r="B34" s="249" t="s">
        <v>59</v>
      </c>
      <c r="C34" s="253"/>
      <c r="D34" s="254">
        <f>D20-D22</f>
        <v>354262.50418606703</v>
      </c>
      <c r="E34" s="254">
        <f t="shared" ref="E34:M34" si="5">E20-E22</f>
        <v>455009.95504626678</v>
      </c>
      <c r="F34" s="254">
        <f t="shared" si="5"/>
        <v>537230.28246009094</v>
      </c>
      <c r="G34" s="254">
        <f t="shared" si="5"/>
        <v>627795.98276172671</v>
      </c>
      <c r="H34" s="254">
        <f t="shared" si="5"/>
        <v>697662.37953905249</v>
      </c>
      <c r="I34" s="254">
        <f t="shared" si="5"/>
        <v>823578.60758801317</v>
      </c>
      <c r="J34" s="254">
        <f t="shared" si="5"/>
        <v>919788.66096457234</v>
      </c>
      <c r="K34" s="254">
        <f t="shared" si="5"/>
        <v>1037035.226896876</v>
      </c>
      <c r="L34" s="254">
        <f t="shared" si="5"/>
        <v>1193139.869670474</v>
      </c>
      <c r="M34" s="255">
        <f t="shared" si="5"/>
        <v>1361136.5920509833</v>
      </c>
    </row>
    <row r="35" spans="1:14" ht="17.100000000000001" customHeight="1" x14ac:dyDescent="0.25">
      <c r="A35" s="116"/>
      <c r="B35" s="248" t="s">
        <v>60</v>
      </c>
      <c r="C35" s="117"/>
      <c r="D35" s="103">
        <f>IF(D34*$C$7&lt;0,0,D34*$C$7)</f>
        <v>106278.75125582011</v>
      </c>
      <c r="E35" s="103">
        <f>IF(E34*$C$7&lt;0,0,E34*$C$7)</f>
        <v>136502.98651388002</v>
      </c>
      <c r="F35" s="103">
        <f>IF(F34*$C$7&lt;0,0,F34*$C$7)</f>
        <v>161169.08473802728</v>
      </c>
      <c r="G35" s="103">
        <f t="shared" ref="G35:M35" si="6">IF(G34*$G$7&lt;0,0,G34*$G$7)</f>
        <v>210311.65422517847</v>
      </c>
      <c r="H35" s="103">
        <f t="shared" si="6"/>
        <v>233716.8971455826</v>
      </c>
      <c r="I35" s="103">
        <f t="shared" si="6"/>
        <v>275898.83354198444</v>
      </c>
      <c r="J35" s="103">
        <f t="shared" si="6"/>
        <v>308129.20142313174</v>
      </c>
      <c r="K35" s="103">
        <f t="shared" si="6"/>
        <v>347406.80101045349</v>
      </c>
      <c r="L35" s="103">
        <f t="shared" si="6"/>
        <v>399701.85633960878</v>
      </c>
      <c r="M35" s="104">
        <f t="shared" si="6"/>
        <v>455980.75833707943</v>
      </c>
    </row>
    <row r="36" spans="1:14" ht="17.100000000000001" customHeight="1" x14ac:dyDescent="0.25">
      <c r="B36" s="96" t="s">
        <v>10</v>
      </c>
      <c r="C36" s="118"/>
      <c r="D36" s="97">
        <f>D34-D35</f>
        <v>247983.75293024693</v>
      </c>
      <c r="E36" s="97">
        <f t="shared" ref="E36:M36" si="7">E34-E35</f>
        <v>318506.96853238676</v>
      </c>
      <c r="F36" s="97">
        <f t="shared" si="7"/>
        <v>376061.19772206363</v>
      </c>
      <c r="G36" s="97">
        <f t="shared" si="7"/>
        <v>417484.32853654824</v>
      </c>
      <c r="H36" s="97">
        <f t="shared" si="7"/>
        <v>463945.48239346989</v>
      </c>
      <c r="I36" s="97">
        <f t="shared" si="7"/>
        <v>547679.77404602873</v>
      </c>
      <c r="J36" s="97">
        <f t="shared" si="7"/>
        <v>611659.45954144059</v>
      </c>
      <c r="K36" s="97">
        <f t="shared" si="7"/>
        <v>689628.42588642251</v>
      </c>
      <c r="L36" s="97">
        <f t="shared" si="7"/>
        <v>793438.01333086519</v>
      </c>
      <c r="M36" s="98">
        <f t="shared" si="7"/>
        <v>905155.83371390391</v>
      </c>
    </row>
    <row r="37" spans="1:14" ht="17.100000000000001" customHeight="1" x14ac:dyDescent="0.25">
      <c r="B37" s="99" t="s">
        <v>11</v>
      </c>
      <c r="C37" s="100"/>
      <c r="D37" s="100">
        <f t="shared" ref="D37:M37" si="8">IFERROR(D36/D11,0)</f>
        <v>0.15506353880967033</v>
      </c>
      <c r="E37" s="100">
        <f t="shared" si="8"/>
        <v>0.17848063463931396</v>
      </c>
      <c r="F37" s="100">
        <f t="shared" si="8"/>
        <v>0.19771784788749891</v>
      </c>
      <c r="G37" s="100">
        <f t="shared" si="8"/>
        <v>0.2053121537473144</v>
      </c>
      <c r="H37" s="100">
        <f t="shared" si="8"/>
        <v>0.21338335363993455</v>
      </c>
      <c r="I37" s="100">
        <f t="shared" si="8"/>
        <v>0.23566640588053334</v>
      </c>
      <c r="J37" s="100">
        <f t="shared" si="8"/>
        <v>0.24616675897329607</v>
      </c>
      <c r="K37" s="100">
        <f t="shared" si="8"/>
        <v>0.25954482595644296</v>
      </c>
      <c r="L37" s="100">
        <f t="shared" si="8"/>
        <v>0.27930323890764808</v>
      </c>
      <c r="M37" s="101">
        <f t="shared" si="8"/>
        <v>0.29800098884152976</v>
      </c>
    </row>
    <row r="38" spans="1:14" ht="17.100000000000001" customHeight="1" x14ac:dyDescent="0.25">
      <c r="B38" s="87"/>
      <c r="C38" s="105"/>
      <c r="D38" s="105"/>
      <c r="E38" s="105"/>
      <c r="F38" s="105"/>
      <c r="G38" s="105"/>
      <c r="H38" s="105"/>
      <c r="I38" s="119"/>
      <c r="J38" s="119"/>
      <c r="K38" s="119"/>
      <c r="L38" s="119"/>
      <c r="M38" s="119"/>
    </row>
    <row r="39" spans="1:14" ht="17.100000000000001" customHeight="1" x14ac:dyDescent="0.25">
      <c r="A39" s="111"/>
      <c r="B39" s="87"/>
      <c r="C39" s="105"/>
      <c r="D39" s="239"/>
      <c r="E39" s="239"/>
      <c r="F39" s="239"/>
      <c r="G39" s="239"/>
      <c r="H39" s="239"/>
      <c r="I39" s="239"/>
      <c r="J39" s="239"/>
      <c r="K39" s="239"/>
      <c r="L39" s="239"/>
      <c r="M39" s="239"/>
    </row>
    <row r="40" spans="1:14" ht="17.100000000000001" customHeight="1" x14ac:dyDescent="0.25">
      <c r="A40" s="111"/>
      <c r="B40" s="87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</row>
    <row r="41" spans="1:14" x14ac:dyDescent="0.25">
      <c r="A41" s="73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4" ht="15" customHeight="1" x14ac:dyDescent="0.25">
      <c r="B42" s="749" t="s">
        <v>36</v>
      </c>
      <c r="C42" s="749" t="s">
        <v>37</v>
      </c>
      <c r="D42" s="749" t="s">
        <v>38</v>
      </c>
      <c r="E42" s="749" t="s">
        <v>40</v>
      </c>
      <c r="F42" s="749" t="s">
        <v>41</v>
      </c>
      <c r="G42" s="749" t="s">
        <v>42</v>
      </c>
      <c r="H42" s="749" t="s">
        <v>43</v>
      </c>
      <c r="I42" s="749" t="s">
        <v>44</v>
      </c>
      <c r="J42" s="749" t="s">
        <v>45</v>
      </c>
      <c r="K42" s="749" t="s">
        <v>46</v>
      </c>
      <c r="L42" s="749" t="s">
        <v>47</v>
      </c>
      <c r="M42" s="749" t="s">
        <v>48</v>
      </c>
    </row>
    <row r="43" spans="1:14" x14ac:dyDescent="0.25">
      <c r="B43" s="750"/>
      <c r="C43" s="750"/>
      <c r="D43" s="750"/>
      <c r="E43" s="750"/>
      <c r="F43" s="750"/>
      <c r="G43" s="750"/>
      <c r="H43" s="750"/>
      <c r="I43" s="750"/>
      <c r="J43" s="750"/>
      <c r="K43" s="750"/>
      <c r="L43" s="750"/>
      <c r="M43" s="750"/>
    </row>
    <row r="44" spans="1:14" ht="18.95" customHeight="1" x14ac:dyDescent="0.25">
      <c r="B44" s="247" t="s">
        <v>61</v>
      </c>
      <c r="C44" s="256"/>
      <c r="D44" s="256">
        <f t="shared" ref="D44:M44" si="9">D36</f>
        <v>247983.75293024693</v>
      </c>
      <c r="E44" s="256">
        <f t="shared" si="9"/>
        <v>318506.96853238676</v>
      </c>
      <c r="F44" s="256">
        <f t="shared" si="9"/>
        <v>376061.19772206363</v>
      </c>
      <c r="G44" s="256">
        <f t="shared" si="9"/>
        <v>417484.32853654824</v>
      </c>
      <c r="H44" s="256">
        <f t="shared" si="9"/>
        <v>463945.48239346989</v>
      </c>
      <c r="I44" s="256">
        <f t="shared" si="9"/>
        <v>547679.77404602873</v>
      </c>
      <c r="J44" s="256">
        <f t="shared" si="9"/>
        <v>611659.45954144059</v>
      </c>
      <c r="K44" s="256">
        <f t="shared" si="9"/>
        <v>689628.42588642251</v>
      </c>
      <c r="L44" s="256">
        <f t="shared" si="9"/>
        <v>793438.01333086519</v>
      </c>
      <c r="M44" s="256">
        <f t="shared" si="9"/>
        <v>905155.83371390391</v>
      </c>
    </row>
    <row r="45" spans="1:14" ht="18.95" customHeight="1" x14ac:dyDescent="0.25">
      <c r="B45" s="248" t="s">
        <v>8</v>
      </c>
      <c r="C45" s="232"/>
      <c r="D45" s="232">
        <f t="shared" ref="D45:M45" si="10">D33</f>
        <v>25766.641500000002</v>
      </c>
      <c r="E45" s="232">
        <f t="shared" si="10"/>
        <v>25766.641500000002</v>
      </c>
      <c r="F45" s="232">
        <f t="shared" si="10"/>
        <v>25766.641500000002</v>
      </c>
      <c r="G45" s="232">
        <f t="shared" si="10"/>
        <v>25766.641500000002</v>
      </c>
      <c r="H45" s="232">
        <f t="shared" si="10"/>
        <v>24165.591500000002</v>
      </c>
      <c r="I45" s="232">
        <f t="shared" si="10"/>
        <v>25766.641500000002</v>
      </c>
      <c r="J45" s="232">
        <f t="shared" si="10"/>
        <v>25766.641500000002</v>
      </c>
      <c r="K45" s="232">
        <f t="shared" si="10"/>
        <v>25766.641500000002</v>
      </c>
      <c r="L45" s="232">
        <f t="shared" si="10"/>
        <v>25766.641500000002</v>
      </c>
      <c r="M45" s="232">
        <f t="shared" si="10"/>
        <v>24165.591500000002</v>
      </c>
    </row>
    <row r="46" spans="1:14" ht="18.95" customHeight="1" x14ac:dyDescent="0.25">
      <c r="B46" s="249" t="s">
        <v>12</v>
      </c>
      <c r="C46" s="257"/>
      <c r="D46" s="257">
        <f>SUM(D44:D45)</f>
        <v>273750.39443024696</v>
      </c>
      <c r="E46" s="257">
        <f t="shared" ref="E46:M46" si="11">SUM(E44:E45)</f>
        <v>344273.61003238679</v>
      </c>
      <c r="F46" s="257">
        <f t="shared" si="11"/>
        <v>401827.83922206366</v>
      </c>
      <c r="G46" s="257">
        <f t="shared" si="11"/>
        <v>443250.97003654827</v>
      </c>
      <c r="H46" s="257">
        <f t="shared" si="11"/>
        <v>488111.07389346987</v>
      </c>
      <c r="I46" s="257">
        <f t="shared" si="11"/>
        <v>573446.41554602876</v>
      </c>
      <c r="J46" s="257">
        <f t="shared" si="11"/>
        <v>637426.10104144062</v>
      </c>
      <c r="K46" s="257">
        <f t="shared" si="11"/>
        <v>715395.06738642254</v>
      </c>
      <c r="L46" s="257">
        <f t="shared" si="11"/>
        <v>819204.65483086521</v>
      </c>
      <c r="M46" s="257">
        <f t="shared" si="11"/>
        <v>929321.42521390389</v>
      </c>
    </row>
    <row r="47" spans="1:14" ht="18.95" customHeight="1" x14ac:dyDescent="0.25">
      <c r="B47" s="248" t="s">
        <v>23</v>
      </c>
      <c r="C47" s="234">
        <f>-CAPEX!B110</f>
        <v>-248060.11499999999</v>
      </c>
      <c r="D47" s="234"/>
      <c r="E47" s="234"/>
      <c r="F47" s="234"/>
      <c r="G47" s="234"/>
      <c r="H47" s="234">
        <f>-CAPEX!G110</f>
        <v>-256310.11499999999</v>
      </c>
      <c r="I47" s="234"/>
      <c r="J47" s="234"/>
      <c r="K47" s="234"/>
      <c r="L47" s="234"/>
      <c r="M47" s="232"/>
    </row>
    <row r="48" spans="1:14" ht="18.95" customHeight="1" x14ac:dyDescent="0.25">
      <c r="B48" s="248" t="s">
        <v>24</v>
      </c>
      <c r="C48" s="234">
        <f>-'PRE-OPERATIVO'!E77</f>
        <v>-895717.92711864412</v>
      </c>
      <c r="D48" s="234"/>
      <c r="E48" s="234"/>
      <c r="F48" s="234"/>
      <c r="G48" s="234"/>
      <c r="H48" s="234"/>
      <c r="I48" s="234"/>
      <c r="J48" s="234"/>
      <c r="K48" s="234"/>
      <c r="L48" s="234"/>
      <c r="M48" s="232"/>
    </row>
    <row r="49" spans="2:17" ht="18.95" customHeight="1" x14ac:dyDescent="0.25">
      <c r="B49" s="248" t="s">
        <v>538</v>
      </c>
      <c r="C49" s="234">
        <f>'CAPITAL DE TRABAJO'!D17</f>
        <v>-104533.94016360147</v>
      </c>
      <c r="D49" s="234">
        <f>'CAPITAL DE TRABAJO'!E17</f>
        <v>-7458.2161296279373</v>
      </c>
      <c r="E49" s="234">
        <f>'CAPITAL DE TRABAJO'!F17</f>
        <v>-3143.9080168685323</v>
      </c>
      <c r="F49" s="234">
        <f>'CAPITAL DE TRABAJO'!G17</f>
        <v>-3641.3975420910283</v>
      </c>
      <c r="G49" s="234">
        <f>'CAPITAL DE TRABAJO'!H17</f>
        <v>-6302.1536511296872</v>
      </c>
      <c r="H49" s="234">
        <f>'CAPITAL DE TRABAJO'!I17</f>
        <v>-2120.9673626842996</v>
      </c>
      <c r="I49" s="234">
        <f>'CAPITAL DE TRABAJO'!J17</f>
        <v>-5671.4864403799002</v>
      </c>
      <c r="J49" s="234">
        <f>'CAPITAL DE TRABAJO'!K17</f>
        <v>-4903.1426136023074</v>
      </c>
      <c r="K49" s="234">
        <f>'CAPITAL DE TRABAJO'!L17</f>
        <v>-2632.2246685846476</v>
      </c>
      <c r="L49" s="234">
        <f>'CAPITAL DE TRABAJO'!M17</f>
        <v>-2876.6609302451252</v>
      </c>
      <c r="M49" s="232">
        <f>'CAPITAL DE TRABAJO'!N17</f>
        <v>143284.09751881493</v>
      </c>
    </row>
    <row r="50" spans="2:17" ht="18.95" customHeight="1" x14ac:dyDescent="0.25">
      <c r="B50" s="289" t="s">
        <v>527</v>
      </c>
      <c r="C50" s="232"/>
      <c r="D50" s="232"/>
      <c r="E50" s="232"/>
      <c r="F50" s="232"/>
      <c r="G50" s="232"/>
      <c r="H50" s="232">
        <f>CAPEX!G157</f>
        <v>77610.044999999998</v>
      </c>
      <c r="I50" s="232"/>
      <c r="J50" s="232"/>
      <c r="K50" s="232"/>
      <c r="L50" s="232"/>
      <c r="M50" s="232">
        <f>CAPEX!L157</f>
        <v>77610.044999999998</v>
      </c>
    </row>
    <row r="51" spans="2:17" ht="18.95" customHeight="1" x14ac:dyDescent="0.25">
      <c r="B51" s="284" t="s">
        <v>39</v>
      </c>
      <c r="C51" s="272">
        <f>SUM(C47:C50)</f>
        <v>-1248311.9822822455</v>
      </c>
      <c r="D51" s="146">
        <f>SUM(D46:D49)</f>
        <v>266292.17830061901</v>
      </c>
      <c r="E51" s="146">
        <f t="shared" ref="E51:L51" si="12">SUM(E46:E49)</f>
        <v>341129.70201551827</v>
      </c>
      <c r="F51" s="146">
        <f t="shared" si="12"/>
        <v>398186.44167997263</v>
      </c>
      <c r="G51" s="146">
        <f t="shared" si="12"/>
        <v>436948.81638541858</v>
      </c>
      <c r="H51" s="146">
        <f t="shared" si="12"/>
        <v>229679.99153078557</v>
      </c>
      <c r="I51" s="146">
        <f t="shared" si="12"/>
        <v>567774.92910564889</v>
      </c>
      <c r="J51" s="146">
        <f t="shared" si="12"/>
        <v>632522.95842783828</v>
      </c>
      <c r="K51" s="146">
        <f t="shared" si="12"/>
        <v>712762.84271783789</v>
      </c>
      <c r="L51" s="146">
        <f t="shared" si="12"/>
        <v>816327.99390062015</v>
      </c>
      <c r="M51" s="146">
        <f>SUM(M46:M50)</f>
        <v>1150215.5677327188</v>
      </c>
    </row>
    <row r="52" spans="2:17" ht="18.95" customHeight="1" x14ac:dyDescent="0.25">
      <c r="B52" s="285" t="s">
        <v>25</v>
      </c>
      <c r="C52" s="272">
        <f>C51</f>
        <v>-1248311.9822822455</v>
      </c>
      <c r="D52" s="146">
        <f>D51/POWER((1+$C$57),1)</f>
        <v>220529.13632441597</v>
      </c>
      <c r="E52" s="146">
        <f>E51/POWER((1+$C$57),2)</f>
        <v>233956.25861524802</v>
      </c>
      <c r="F52" s="146">
        <f>F51/POWER((1+$C$57),3)</f>
        <v>226156.54832831546</v>
      </c>
      <c r="G52" s="146">
        <f>G51/POWER((1+$C$57),4)</f>
        <v>205523.19024435634</v>
      </c>
      <c r="H52" s="146">
        <f>H51/POWER((1+$C$57),5)</f>
        <v>89466.612787800899</v>
      </c>
      <c r="I52" s="146">
        <f>I51/POWER((1+$C$57),6)</f>
        <v>183156.19381914014</v>
      </c>
      <c r="J52" s="146">
        <f>J51/POWER((1+$C$57),7)</f>
        <v>168977.64688581726</v>
      </c>
      <c r="K52" s="146">
        <f>K51/POWER((1+$C$57),8)</f>
        <v>157690.51883027994</v>
      </c>
      <c r="L52" s="146">
        <f>L51/POWER((1+$C$57),9)</f>
        <v>149565.96829366474</v>
      </c>
      <c r="M52" s="146">
        <f>M51/POWER((1+$C$57),10)</f>
        <v>174523.89816987782</v>
      </c>
    </row>
    <row r="53" spans="2:17" ht="18.95" customHeight="1" x14ac:dyDescent="0.25">
      <c r="B53" s="286" t="s">
        <v>26</v>
      </c>
      <c r="C53" s="272">
        <f>C52</f>
        <v>-1248311.9822822455</v>
      </c>
      <c r="D53" s="272">
        <f>C53+D52</f>
        <v>-1027782.8459578296</v>
      </c>
      <c r="E53" s="272">
        <f t="shared" ref="E53:M53" si="13">D53+E52</f>
        <v>-793826.5873425816</v>
      </c>
      <c r="F53" s="272">
        <f t="shared" si="13"/>
        <v>-567670.03901426611</v>
      </c>
      <c r="G53" s="272">
        <f t="shared" si="13"/>
        <v>-362146.84876990976</v>
      </c>
      <c r="H53" s="272">
        <f t="shared" si="13"/>
        <v>-272680.23598210886</v>
      </c>
      <c r="I53" s="272">
        <f t="shared" si="13"/>
        <v>-89524.042162968719</v>
      </c>
      <c r="J53" s="146">
        <f t="shared" si="13"/>
        <v>79453.60472284854</v>
      </c>
      <c r="K53" s="146">
        <f t="shared" si="13"/>
        <v>237144.12355312848</v>
      </c>
      <c r="L53" s="146">
        <f t="shared" si="13"/>
        <v>386710.09184679319</v>
      </c>
      <c r="M53" s="146">
        <f t="shared" si="13"/>
        <v>561233.99001667101</v>
      </c>
    </row>
    <row r="54" spans="2:17" x14ac:dyDescent="0.25"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Q54" s="111"/>
    </row>
    <row r="55" spans="2:17" s="235" customFormat="1" x14ac:dyDescent="0.25">
      <c r="C55" s="236">
        <f>C52</f>
        <v>-1248311.9822822455</v>
      </c>
      <c r="D55" s="236">
        <f>SUM(C52:D52)</f>
        <v>-1027782.8459578296</v>
      </c>
      <c r="E55" s="236">
        <f>SUM(C52:E52)</f>
        <v>-793826.5873425816</v>
      </c>
      <c r="F55" s="236">
        <f>SUM(C52:F52)</f>
        <v>-567670.03901426611</v>
      </c>
      <c r="G55" s="236">
        <f>SUM(C52:G52)</f>
        <v>-362146.84876990976</v>
      </c>
      <c r="H55" s="236">
        <f>SUM(C52:H52)</f>
        <v>-272680.23598210886</v>
      </c>
      <c r="I55" s="236">
        <f>SUM(C52:I52)</f>
        <v>-89524.042162968719</v>
      </c>
      <c r="J55" s="236">
        <f>SUM(C52:J52)</f>
        <v>79453.60472284854</v>
      </c>
      <c r="K55" s="236">
        <f>SUM(C52:K52)</f>
        <v>237144.12355312848</v>
      </c>
      <c r="L55" s="236">
        <f>SUM(C52:L52)</f>
        <v>386710.09184679319</v>
      </c>
      <c r="M55" s="236">
        <f>SUM(C52:M52)</f>
        <v>561233.99001667101</v>
      </c>
    </row>
    <row r="57" spans="2:17" x14ac:dyDescent="0.25">
      <c r="B57" s="121" t="s">
        <v>423</v>
      </c>
      <c r="C57" s="661">
        <f>WACC!C3</f>
        <v>0.20751471999999996</v>
      </c>
    </row>
    <row r="58" spans="2:17" x14ac:dyDescent="0.25">
      <c r="B58" s="122"/>
      <c r="C58" s="662"/>
    </row>
    <row r="59" spans="2:17" x14ac:dyDescent="0.25">
      <c r="B59" s="122" t="s">
        <v>62</v>
      </c>
      <c r="C59" s="663">
        <f>SUM(C52:M52)</f>
        <v>561233.99001667101</v>
      </c>
      <c r="E59" s="126"/>
      <c r="F59" s="127"/>
    </row>
    <row r="60" spans="2:17" x14ac:dyDescent="0.25">
      <c r="B60" s="122"/>
      <c r="C60" s="662"/>
    </row>
    <row r="61" spans="2:17" x14ac:dyDescent="0.25">
      <c r="B61" s="122" t="s">
        <v>63</v>
      </c>
      <c r="C61" s="664">
        <f>IRR(C51:M51)</f>
        <v>0.30477329624814775</v>
      </c>
      <c r="E61" s="127"/>
    </row>
    <row r="62" spans="2:17" x14ac:dyDescent="0.25">
      <c r="B62" s="122"/>
      <c r="C62" s="662"/>
      <c r="H62" s="86"/>
    </row>
    <row r="63" spans="2:17" x14ac:dyDescent="0.25">
      <c r="B63" s="123" t="s">
        <v>64</v>
      </c>
      <c r="C63" s="665">
        <f>6-I53/J52</f>
        <v>6.5297981349181793</v>
      </c>
    </row>
    <row r="65" spans="2:18" x14ac:dyDescent="0.25">
      <c r="I65" s="111"/>
    </row>
    <row r="66" spans="2:18" x14ac:dyDescent="0.25">
      <c r="B66" s="749" t="s">
        <v>36</v>
      </c>
      <c r="C66" s="749" t="s">
        <v>37</v>
      </c>
      <c r="D66" s="749" t="s">
        <v>38</v>
      </c>
      <c r="E66" s="749" t="s">
        <v>40</v>
      </c>
      <c r="F66" s="749" t="s">
        <v>41</v>
      </c>
      <c r="G66" s="749" t="s">
        <v>42</v>
      </c>
      <c r="H66" s="749" t="s">
        <v>43</v>
      </c>
      <c r="I66" s="749" t="s">
        <v>44</v>
      </c>
      <c r="J66" s="749" t="s">
        <v>45</v>
      </c>
      <c r="K66" s="749" t="s">
        <v>46</v>
      </c>
      <c r="L66" s="749" t="s">
        <v>47</v>
      </c>
      <c r="M66" s="749" t="s">
        <v>48</v>
      </c>
    </row>
    <row r="67" spans="2:18" x14ac:dyDescent="0.25">
      <c r="B67" s="750"/>
      <c r="C67" s="750"/>
      <c r="D67" s="750"/>
      <c r="E67" s="750"/>
      <c r="F67" s="750"/>
      <c r="G67" s="750"/>
      <c r="H67" s="750"/>
      <c r="I67" s="750"/>
      <c r="J67" s="750"/>
      <c r="K67" s="750"/>
      <c r="L67" s="750"/>
      <c r="M67" s="750"/>
    </row>
    <row r="68" spans="2:18" ht="18.95" customHeight="1" x14ac:dyDescent="0.25">
      <c r="B68" s="287" t="s">
        <v>39</v>
      </c>
      <c r="C68" s="266">
        <f>C51</f>
        <v>-1248311.9822822455</v>
      </c>
      <c r="D68" s="267">
        <f t="shared" ref="D68:M68" si="14">D51</f>
        <v>266292.17830061901</v>
      </c>
      <c r="E68" s="267">
        <f t="shared" si="14"/>
        <v>341129.70201551827</v>
      </c>
      <c r="F68" s="267">
        <f t="shared" si="14"/>
        <v>398186.44167997263</v>
      </c>
      <c r="G68" s="267">
        <f t="shared" si="14"/>
        <v>436948.81638541858</v>
      </c>
      <c r="H68" s="267">
        <f t="shared" si="14"/>
        <v>229679.99153078557</v>
      </c>
      <c r="I68" s="267">
        <f t="shared" si="14"/>
        <v>567774.92910564889</v>
      </c>
      <c r="J68" s="267">
        <f t="shared" si="14"/>
        <v>632522.95842783828</v>
      </c>
      <c r="K68" s="267">
        <f t="shared" si="14"/>
        <v>712762.84271783789</v>
      </c>
      <c r="L68" s="267">
        <f t="shared" si="14"/>
        <v>816327.99390062015</v>
      </c>
      <c r="M68" s="268">
        <f t="shared" si="14"/>
        <v>1150215.5677327188</v>
      </c>
    </row>
    <row r="69" spans="2:18" ht="18.95" customHeight="1" x14ac:dyDescent="0.25">
      <c r="B69" s="288" t="s">
        <v>434</v>
      </c>
      <c r="C69" s="269">
        <f>DEUDA!C21</f>
        <v>374493.59468467365</v>
      </c>
      <c r="D69" s="270">
        <f>DEUDA!D21</f>
        <v>-57173.937100509123</v>
      </c>
      <c r="E69" s="270">
        <f>DEUDA!E21</f>
        <v>-57173.937100509123</v>
      </c>
      <c r="F69" s="270">
        <f>DEUDA!F21</f>
        <v>-57173.937100509123</v>
      </c>
      <c r="G69" s="270">
        <f>DEUDA!G21</f>
        <v>-57173.937100509123</v>
      </c>
      <c r="H69" s="270">
        <f>DEUDA!H21</f>
        <v>-57173.937100509123</v>
      </c>
      <c r="I69" s="270">
        <f>DEUDA!I21</f>
        <v>-57173.937100509123</v>
      </c>
      <c r="J69" s="270">
        <f>DEUDA!J21</f>
        <v>-57173.937100509123</v>
      </c>
      <c r="K69" s="270">
        <f>DEUDA!K21</f>
        <v>-57173.937100509123</v>
      </c>
      <c r="L69" s="270">
        <f>DEUDA!L21</f>
        <v>-57173.937100509123</v>
      </c>
      <c r="M69" s="271">
        <f>DEUDA!M21</f>
        <v>-431667.53178518277</v>
      </c>
    </row>
    <row r="70" spans="2:18" ht="18.95" customHeight="1" x14ac:dyDescent="0.25">
      <c r="B70" s="121" t="s">
        <v>439</v>
      </c>
      <c r="C70" s="272">
        <f>C68+C69</f>
        <v>-873818.38759757183</v>
      </c>
      <c r="D70" s="146">
        <f t="shared" ref="D70:M70" si="15">D68+D69</f>
        <v>209118.24120010989</v>
      </c>
      <c r="E70" s="146">
        <f t="shared" si="15"/>
        <v>283955.76491500915</v>
      </c>
      <c r="F70" s="146">
        <f t="shared" si="15"/>
        <v>341012.50457946351</v>
      </c>
      <c r="G70" s="146">
        <f t="shared" si="15"/>
        <v>379774.87928490946</v>
      </c>
      <c r="H70" s="146">
        <f t="shared" si="15"/>
        <v>172506.05443027645</v>
      </c>
      <c r="I70" s="146">
        <f t="shared" si="15"/>
        <v>510600.99200513976</v>
      </c>
      <c r="J70" s="146">
        <f t="shared" si="15"/>
        <v>575349.0213273291</v>
      </c>
      <c r="K70" s="146">
        <f t="shared" si="15"/>
        <v>655588.90561732883</v>
      </c>
      <c r="L70" s="146">
        <f t="shared" si="15"/>
        <v>759154.05680011096</v>
      </c>
      <c r="M70" s="146">
        <f t="shared" si="15"/>
        <v>718548.035947536</v>
      </c>
    </row>
    <row r="71" spans="2:18" ht="18.95" customHeight="1" x14ac:dyDescent="0.25">
      <c r="B71" s="122" t="s">
        <v>25</v>
      </c>
      <c r="C71" s="272">
        <f>C70</f>
        <v>-873818.38759757183</v>
      </c>
      <c r="D71" s="146">
        <f>D70/POWER((1+$C$76),1)</f>
        <v>169874.01435371937</v>
      </c>
      <c r="E71" s="146">
        <f>E70/POWER((1+$C$76),2)</f>
        <v>187378.93006041451</v>
      </c>
      <c r="F71" s="146">
        <f>F70/POWER((1+$C$76),3)</f>
        <v>182799.66742158341</v>
      </c>
      <c r="G71" s="146">
        <f>G70/POWER((1+$C$76),4)</f>
        <v>165373.66963596322</v>
      </c>
      <c r="H71" s="146">
        <f>H70/POWER((1+$C$76),5)</f>
        <v>61021.025709822796</v>
      </c>
      <c r="I71" s="146">
        <f>I70/POWER((1+$C$76),6)</f>
        <v>146720.85458467217</v>
      </c>
      <c r="J71" s="146">
        <f>J70/POWER((1+$C$76),7)</f>
        <v>134300.18306492502</v>
      </c>
      <c r="K71" s="146">
        <f>K70/POWER((1+$C$76),8)</f>
        <v>124311.65653055564</v>
      </c>
      <c r="L71" s="146">
        <f>L70/POWER((1+$C$76),9)</f>
        <v>116935.18516786543</v>
      </c>
      <c r="M71" s="146">
        <f>M70/POWER((1+$C$76),10)</f>
        <v>89909.613231628755</v>
      </c>
    </row>
    <row r="72" spans="2:18" ht="18.95" customHeight="1" x14ac:dyDescent="0.25">
      <c r="B72" s="123" t="s">
        <v>26</v>
      </c>
      <c r="C72" s="272">
        <f>C71</f>
        <v>-873818.38759757183</v>
      </c>
      <c r="D72" s="272">
        <f>C72+D71</f>
        <v>-703944.37324385252</v>
      </c>
      <c r="E72" s="272">
        <f t="shared" ref="E72:L72" si="16">D72+E71</f>
        <v>-516565.44318343804</v>
      </c>
      <c r="F72" s="272">
        <f t="shared" si="16"/>
        <v>-333765.7757618546</v>
      </c>
      <c r="G72" s="272">
        <f t="shared" si="16"/>
        <v>-168392.10612589138</v>
      </c>
      <c r="H72" s="272">
        <f t="shared" si="16"/>
        <v>-107371.08041606858</v>
      </c>
      <c r="I72" s="146">
        <f t="shared" si="16"/>
        <v>39349.774168603588</v>
      </c>
      <c r="J72" s="146">
        <f t="shared" si="16"/>
        <v>173649.95723352861</v>
      </c>
      <c r="K72" s="146">
        <f t="shared" si="16"/>
        <v>297961.61376408424</v>
      </c>
      <c r="L72" s="146">
        <f t="shared" si="16"/>
        <v>414896.79893194966</v>
      </c>
      <c r="M72" s="146">
        <f>L72+M71</f>
        <v>504806.41216357844</v>
      </c>
    </row>
    <row r="73" spans="2:18" x14ac:dyDescent="0.25">
      <c r="D73" s="238"/>
      <c r="P73" s="111"/>
      <c r="R73" s="111"/>
    </row>
    <row r="74" spans="2:18" s="235" customFormat="1" x14ac:dyDescent="0.25">
      <c r="C74" s="236">
        <f>C71</f>
        <v>-873818.38759757183</v>
      </c>
      <c r="D74" s="236">
        <f>SUM(C71:D71)</f>
        <v>-703944.37324385252</v>
      </c>
      <c r="E74" s="236">
        <f>SUM(C71:E71)</f>
        <v>-516565.44318343804</v>
      </c>
      <c r="F74" s="236">
        <f>SUM(C71:F71)</f>
        <v>-333765.7757618546</v>
      </c>
      <c r="G74" s="236">
        <f>SUM(C71:G71)</f>
        <v>-168392.10612589138</v>
      </c>
      <c r="H74" s="236">
        <f>SUM(C71:H71)</f>
        <v>-107371.08041606858</v>
      </c>
      <c r="I74" s="236">
        <f>SUM(C71:I71)</f>
        <v>39349.774168603588</v>
      </c>
      <c r="J74" s="236">
        <f>SUM(C71:J71)</f>
        <v>173649.95723352861</v>
      </c>
      <c r="K74" s="236">
        <f>SUM(C71:K71)</f>
        <v>297961.61376408424</v>
      </c>
      <c r="L74" s="236">
        <f>SUM(C71:L71)</f>
        <v>414896.79893194966</v>
      </c>
      <c r="M74" s="236">
        <f>SUM(C71:M71)</f>
        <v>504806.41216357844</v>
      </c>
      <c r="P74" s="237"/>
      <c r="R74" s="237"/>
    </row>
    <row r="76" spans="2:18" x14ac:dyDescent="0.25">
      <c r="B76" s="573" t="s">
        <v>435</v>
      </c>
      <c r="C76" s="666">
        <f>WACC!C7</f>
        <v>0.23101959999999999</v>
      </c>
    </row>
    <row r="77" spans="2:18" x14ac:dyDescent="0.25">
      <c r="B77" s="574"/>
      <c r="C77" s="667"/>
    </row>
    <row r="78" spans="2:18" x14ac:dyDescent="0.25">
      <c r="B78" s="574" t="s">
        <v>62</v>
      </c>
      <c r="C78" s="668">
        <f>SUM(C71:M71)</f>
        <v>504806.41216357844</v>
      </c>
    </row>
    <row r="79" spans="2:18" x14ac:dyDescent="0.25">
      <c r="B79" s="574"/>
      <c r="C79" s="667"/>
    </row>
    <row r="80" spans="2:18" x14ac:dyDescent="0.25">
      <c r="B80" s="574" t="s">
        <v>63</v>
      </c>
      <c r="C80" s="669">
        <f>IRR(C70:M70)</f>
        <v>0.36059040398174336</v>
      </c>
    </row>
    <row r="81" spans="2:3" x14ac:dyDescent="0.25">
      <c r="B81" s="574"/>
      <c r="C81" s="667"/>
    </row>
    <row r="82" spans="2:3" x14ac:dyDescent="0.25">
      <c r="B82" s="575" t="s">
        <v>64</v>
      </c>
      <c r="C82" s="670">
        <f>5-H72/I71</f>
        <v>5.7318051733000575</v>
      </c>
    </row>
  </sheetData>
  <mergeCells count="38">
    <mergeCell ref="M66:M67"/>
    <mergeCell ref="B66:B67"/>
    <mergeCell ref="C66:C67"/>
    <mergeCell ref="D66:D67"/>
    <mergeCell ref="E66:E67"/>
    <mergeCell ref="F66:F67"/>
    <mergeCell ref="G66:G67"/>
    <mergeCell ref="H66:H67"/>
    <mergeCell ref="I66:I67"/>
    <mergeCell ref="J66:J67"/>
    <mergeCell ref="K66:K67"/>
    <mergeCell ref="L66:L67"/>
    <mergeCell ref="M42:M43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9:M10"/>
    <mergeCell ref="B3:M4"/>
    <mergeCell ref="B5:M5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21"/>
  <sheetViews>
    <sheetView zoomScale="70" zoomScaleNormal="70" workbookViewId="0">
      <selection activeCell="C14" sqref="C14"/>
    </sheetView>
  </sheetViews>
  <sheetFormatPr baseColWidth="10" defaultColWidth="11" defaultRowHeight="15" x14ac:dyDescent="0.25"/>
  <cols>
    <col min="1" max="1" width="11" style="404"/>
    <col min="2" max="2" width="22.140625" style="404" customWidth="1"/>
    <col min="3" max="3" width="28.42578125" style="404" customWidth="1"/>
    <col min="4" max="4" width="11" style="404"/>
    <col min="5" max="5" width="37.7109375" style="404" customWidth="1"/>
    <col min="6" max="6" width="11" style="404"/>
    <col min="7" max="7" width="9.28515625" style="404" customWidth="1"/>
    <col min="8" max="8" width="11.42578125" style="404" bestFit="1" customWidth="1"/>
    <col min="9" max="9" width="58.28515625" style="404" customWidth="1"/>
    <col min="10" max="16384" width="11" style="404"/>
  </cols>
  <sheetData>
    <row r="2" spans="2:10" ht="15.75" x14ac:dyDescent="0.25">
      <c r="J2" s="551"/>
    </row>
    <row r="3" spans="2:10" x14ac:dyDescent="0.25">
      <c r="B3" s="423" t="s">
        <v>536</v>
      </c>
      <c r="C3" s="552">
        <f>C5*C8*(1-C9)+C6*C7</f>
        <v>0.213592</v>
      </c>
      <c r="E3" s="763" t="s">
        <v>428</v>
      </c>
      <c r="F3" s="764"/>
      <c r="G3" s="763" t="s">
        <v>528</v>
      </c>
      <c r="H3" s="765"/>
      <c r="I3" s="764"/>
    </row>
    <row r="4" spans="2:10" x14ac:dyDescent="0.25">
      <c r="C4" s="521"/>
      <c r="E4" s="553" t="s">
        <v>529</v>
      </c>
      <c r="F4" s="554">
        <v>0.11650000000000001</v>
      </c>
      <c r="G4" s="766" t="s">
        <v>530</v>
      </c>
      <c r="H4" s="767"/>
      <c r="I4" s="768"/>
    </row>
    <row r="5" spans="2:10" x14ac:dyDescent="0.25">
      <c r="B5" s="555" t="s">
        <v>436</v>
      </c>
      <c r="C5" s="556">
        <v>0</v>
      </c>
      <c r="E5" s="553" t="s">
        <v>440</v>
      </c>
      <c r="F5" s="557">
        <v>1.7500000000000002E-2</v>
      </c>
      <c r="G5" s="769" t="s">
        <v>531</v>
      </c>
      <c r="H5" s="770"/>
      <c r="I5" s="771"/>
    </row>
    <row r="6" spans="2:10" ht="15.75" x14ac:dyDescent="0.25">
      <c r="B6" s="558" t="s">
        <v>437</v>
      </c>
      <c r="C6" s="559">
        <v>1</v>
      </c>
      <c r="E6" s="560" t="s">
        <v>441</v>
      </c>
      <c r="F6" s="561">
        <v>6.1800000000000001E-2</v>
      </c>
      <c r="G6" s="772" t="s">
        <v>532</v>
      </c>
      <c r="H6" s="773"/>
      <c r="I6" s="774"/>
    </row>
    <row r="7" spans="2:10" x14ac:dyDescent="0.25">
      <c r="B7" s="558" t="s">
        <v>435</v>
      </c>
      <c r="C7" s="562">
        <f>F5+F9*(F6)+F7+F4</f>
        <v>0.213592</v>
      </c>
      <c r="E7" s="560" t="s">
        <v>442</v>
      </c>
      <c r="F7" s="563">
        <v>2.1499999999999998E-2</v>
      </c>
      <c r="G7" s="772" t="s">
        <v>533</v>
      </c>
      <c r="H7" s="773"/>
      <c r="I7" s="774"/>
    </row>
    <row r="8" spans="2:10" ht="15.75" x14ac:dyDescent="0.25">
      <c r="B8" s="558" t="s">
        <v>438</v>
      </c>
      <c r="C8" s="562">
        <v>0</v>
      </c>
      <c r="E8" s="564" t="s">
        <v>443</v>
      </c>
      <c r="F8" s="565">
        <v>0.94</v>
      </c>
      <c r="G8" s="760" t="s">
        <v>534</v>
      </c>
      <c r="H8" s="761"/>
      <c r="I8" s="762"/>
    </row>
    <row r="9" spans="2:10" x14ac:dyDescent="0.25">
      <c r="B9" s="566" t="s">
        <v>535</v>
      </c>
      <c r="C9" s="567">
        <v>0.3</v>
      </c>
      <c r="E9" s="568" t="s">
        <v>444</v>
      </c>
      <c r="F9" s="569">
        <f>F8*(1+(C5/C6)*(1-C9))</f>
        <v>0.94</v>
      </c>
    </row>
    <row r="11" spans="2:10" x14ac:dyDescent="0.25">
      <c r="B11" s="568" t="s">
        <v>435</v>
      </c>
      <c r="C11" s="570">
        <f>C7</f>
        <v>0.213592</v>
      </c>
      <c r="D11" s="528"/>
      <c r="E11" s="528"/>
      <c r="F11" s="528"/>
      <c r="G11" s="529"/>
    </row>
    <row r="12" spans="2:10" x14ac:dyDescent="0.25">
      <c r="B12" s="571" t="s">
        <v>537</v>
      </c>
      <c r="C12" s="528"/>
      <c r="D12" s="528"/>
      <c r="E12" s="528"/>
      <c r="F12" s="528"/>
      <c r="G12" s="529"/>
    </row>
    <row r="21" spans="3:3" x14ac:dyDescent="0.25">
      <c r="C21" s="572"/>
    </row>
  </sheetData>
  <mergeCells count="7">
    <mergeCell ref="G8:I8"/>
    <mergeCell ref="E3:F3"/>
    <mergeCell ref="G3:I3"/>
    <mergeCell ref="G4:I4"/>
    <mergeCell ref="G5:I5"/>
    <mergeCell ref="G6:I6"/>
    <mergeCell ref="G7:I7"/>
  </mergeCells>
  <hyperlinks>
    <hyperlink ref="G5" r:id="rId1"/>
    <hyperlink ref="G6" r:id="rId2"/>
    <hyperlink ref="G7" r:id="rId3"/>
    <hyperlink ref="G8" r:id="rId4"/>
    <hyperlink ref="G4" r:id="rId5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74"/>
  <sheetViews>
    <sheetView topLeftCell="A31" zoomScale="55" zoomScaleNormal="55" workbookViewId="0">
      <selection activeCell="G59" sqref="G59"/>
    </sheetView>
  </sheetViews>
  <sheetFormatPr baseColWidth="10" defaultColWidth="11" defaultRowHeight="15" x14ac:dyDescent="0.25"/>
  <cols>
    <col min="1" max="1" width="6.140625" style="3" customWidth="1"/>
    <col min="2" max="2" width="45.28515625" style="3" customWidth="1"/>
    <col min="3" max="7" width="15.5703125" style="3" customWidth="1"/>
    <col min="8" max="8" width="17.5703125" style="3" customWidth="1"/>
    <col min="9" max="9" width="17.42578125" style="3" customWidth="1"/>
    <col min="10" max="14" width="15.5703125" style="3" customWidth="1"/>
    <col min="15" max="16384" width="11" style="3"/>
  </cols>
  <sheetData>
    <row r="3" spans="2:15" x14ac:dyDescent="0.25">
      <c r="B3" s="751" t="s">
        <v>66</v>
      </c>
      <c r="C3" s="752"/>
      <c r="D3" s="752"/>
      <c r="E3" s="752"/>
      <c r="F3" s="752"/>
      <c r="G3" s="752"/>
      <c r="H3" s="752"/>
      <c r="I3" s="752"/>
      <c r="J3" s="752"/>
      <c r="K3" s="752"/>
      <c r="L3" s="752"/>
      <c r="M3" s="753"/>
    </row>
    <row r="4" spans="2:15" x14ac:dyDescent="0.25">
      <c r="B4" s="754"/>
      <c r="C4" s="755"/>
      <c r="D4" s="755"/>
      <c r="E4" s="755"/>
      <c r="F4" s="755"/>
      <c r="G4" s="755"/>
      <c r="H4" s="755"/>
      <c r="I4" s="755"/>
      <c r="J4" s="755"/>
      <c r="K4" s="755"/>
      <c r="L4" s="755"/>
      <c r="M4" s="756"/>
    </row>
    <row r="5" spans="2:15" x14ac:dyDescent="0.25">
      <c r="B5" s="757" t="s">
        <v>65</v>
      </c>
      <c r="C5" s="758"/>
      <c r="D5" s="758"/>
      <c r="E5" s="758"/>
      <c r="F5" s="758"/>
      <c r="G5" s="758"/>
      <c r="H5" s="758"/>
      <c r="I5" s="758"/>
      <c r="J5" s="758"/>
      <c r="K5" s="758"/>
      <c r="L5" s="758"/>
      <c r="M5" s="759"/>
    </row>
    <row r="7" spans="2:15" x14ac:dyDescent="0.25">
      <c r="B7" s="263" t="s">
        <v>60</v>
      </c>
      <c r="C7" s="264">
        <v>0.3</v>
      </c>
      <c r="G7" s="265">
        <v>0.33500000000000002</v>
      </c>
      <c r="O7" s="111"/>
    </row>
    <row r="8" spans="2:15" x14ac:dyDescent="0.25">
      <c r="O8" s="111"/>
    </row>
    <row r="9" spans="2:15" x14ac:dyDescent="0.25">
      <c r="B9" s="749" t="s">
        <v>29</v>
      </c>
      <c r="C9" s="749" t="s">
        <v>37</v>
      </c>
      <c r="D9" s="749" t="s">
        <v>38</v>
      </c>
      <c r="E9" s="749" t="s">
        <v>40</v>
      </c>
      <c r="F9" s="749" t="s">
        <v>41</v>
      </c>
      <c r="G9" s="749" t="s">
        <v>42</v>
      </c>
      <c r="H9" s="749" t="s">
        <v>43</v>
      </c>
      <c r="I9" s="749" t="s">
        <v>44</v>
      </c>
      <c r="J9" s="749" t="s">
        <v>45</v>
      </c>
      <c r="K9" s="749" t="s">
        <v>46</v>
      </c>
      <c r="L9" s="749" t="s">
        <v>47</v>
      </c>
      <c r="M9" s="749" t="s">
        <v>48</v>
      </c>
      <c r="O9" s="112"/>
    </row>
    <row r="10" spans="2:15" x14ac:dyDescent="0.25">
      <c r="B10" s="750"/>
      <c r="C10" s="750"/>
      <c r="D10" s="750"/>
      <c r="E10" s="750"/>
      <c r="F10" s="750"/>
      <c r="G10" s="750"/>
      <c r="H10" s="750"/>
      <c r="I10" s="750"/>
      <c r="J10" s="750"/>
      <c r="K10" s="750"/>
      <c r="L10" s="750"/>
      <c r="M10" s="750"/>
    </row>
    <row r="11" spans="2:15" ht="17.100000000000001" customHeight="1" x14ac:dyDescent="0.25">
      <c r="B11" s="247" t="s">
        <v>30</v>
      </c>
      <c r="C11" s="250"/>
      <c r="D11" s="251">
        <f>SUM(D12:D15)</f>
        <v>1599239.607414285</v>
      </c>
      <c r="E11" s="251">
        <f t="shared" ref="E11:M11" si="0">SUM(E12:E15)</f>
        <v>1784546.3692800493</v>
      </c>
      <c r="F11" s="251">
        <f t="shared" si="0"/>
        <v>1902009.3620280642</v>
      </c>
      <c r="G11" s="251">
        <f t="shared" si="0"/>
        <v>2033412.6398107067</v>
      </c>
      <c r="H11" s="251">
        <f t="shared" si="0"/>
        <v>2174234.6555127101</v>
      </c>
      <c r="I11" s="251">
        <f t="shared" si="0"/>
        <v>2323962.0089240242</v>
      </c>
      <c r="J11" s="251">
        <f t="shared" si="0"/>
        <v>2484736.20927752</v>
      </c>
      <c r="K11" s="251">
        <f t="shared" si="0"/>
        <v>2657068.67145237</v>
      </c>
      <c r="L11" s="251">
        <f t="shared" si="0"/>
        <v>2840776.270386239</v>
      </c>
      <c r="M11" s="252">
        <f t="shared" si="0"/>
        <v>3037425.6046353104</v>
      </c>
    </row>
    <row r="12" spans="2:15" ht="17.100000000000001" customHeight="1" x14ac:dyDescent="0.25">
      <c r="B12" s="248" t="s">
        <v>27</v>
      </c>
      <c r="C12" s="88"/>
      <c r="D12" s="93">
        <f>'INGRESOS AFILIACIONES'!F66+'INGRESOS AFILIACIONES'!F67</f>
        <v>1362462.4454237139</v>
      </c>
      <c r="E12" s="93">
        <f>'INGRESOS AFILIACIONES'!G66+'INGRESOS AFILIACIONES'!G67</f>
        <v>1457751.7318005222</v>
      </c>
      <c r="F12" s="93">
        <f>'INGRESOS AFILIACIONES'!H66+'INGRESOS AFILIACIONES'!H67</f>
        <v>1559794.3530265591</v>
      </c>
      <c r="G12" s="93">
        <f>'INGRESOS AFILIACIONES'!I66+'INGRESOS AFILIACIONES'!I67</f>
        <v>1668979.9577384184</v>
      </c>
      <c r="H12" s="93">
        <f>'INGRESOS AFILIACIONES'!J66+'INGRESOS AFILIACIONES'!J67</f>
        <v>1785808.5547801072</v>
      </c>
      <c r="I12" s="93">
        <f>'INGRESOS AFILIACIONES'!K66+'INGRESOS AFILIACIONES'!K67</f>
        <v>1910815.1536147152</v>
      </c>
      <c r="J12" s="93">
        <f>'INGRESOS AFILIACIONES'!L66+'INGRESOS AFILIACIONES'!L67</f>
        <v>2044572.2143677459</v>
      </c>
      <c r="K12" s="93">
        <f>'INGRESOS AFILIACIONES'!M66+'INGRESOS AFILIACIONES'!M67</f>
        <v>2187692.2693734877</v>
      </c>
      <c r="L12" s="93">
        <f>'INGRESOS AFILIACIONES'!N66+'INGRESOS AFILIACIONES'!N67</f>
        <v>2340830.7282296321</v>
      </c>
      <c r="M12" s="94">
        <f>'INGRESOS AFILIACIONES'!O66+'INGRESOS AFILIACIONES'!O67</f>
        <v>2504688.8792057065</v>
      </c>
    </row>
    <row r="13" spans="2:15" ht="17.100000000000001" customHeight="1" x14ac:dyDescent="0.25">
      <c r="B13" s="248" t="s">
        <v>28</v>
      </c>
      <c r="C13" s="88"/>
      <c r="D13" s="93">
        <f>'INGRESOS AFILIACIONES'!F68</f>
        <v>199519.08063463896</v>
      </c>
      <c r="E13" s="93">
        <f>'INGRESOS AFILIACIONES'!G68</f>
        <v>288783.67476766265</v>
      </c>
      <c r="F13" s="93">
        <f>'INGRESOS AFILIACIONES'!H68</f>
        <v>303593.87679811509</v>
      </c>
      <c r="G13" s="93">
        <f>'INGRESOS AFILIACIONES'!I68</f>
        <v>324845.44817398314</v>
      </c>
      <c r="H13" s="93">
        <f>'INGRESOS AFILIACIONES'!J68</f>
        <v>347584.62954616203</v>
      </c>
      <c r="I13" s="93">
        <f>'INGRESOS AFILIACIONES'!K68</f>
        <v>371915.5536143934</v>
      </c>
      <c r="J13" s="93">
        <f>'INGRESOS AFILIACIONES'!L68</f>
        <v>397949.64236740099</v>
      </c>
      <c r="K13" s="93">
        <f>'INGRESOS AFILIACIONES'!M68</f>
        <v>425806.11733311909</v>
      </c>
      <c r="L13" s="93">
        <f>'INGRESOS AFILIACIONES'!N68</f>
        <v>455612.54554643738</v>
      </c>
      <c r="M13" s="94">
        <f>'INGRESOS AFILIACIONES'!O68</f>
        <v>487505.42373468803</v>
      </c>
    </row>
    <row r="14" spans="2:15" ht="17.100000000000001" customHeight="1" x14ac:dyDescent="0.25">
      <c r="B14" s="248" t="s">
        <v>3</v>
      </c>
      <c r="C14" s="88"/>
      <c r="D14" s="93">
        <f>'OTROS INGRESOS'!D124</f>
        <v>30265.199999999997</v>
      </c>
      <c r="E14" s="93">
        <f>'OTROS INGRESOS'!E124</f>
        <v>30265.199999999997</v>
      </c>
      <c r="F14" s="93">
        <f>'OTROS INGRESOS'!F124</f>
        <v>30265.199999999997</v>
      </c>
      <c r="G14" s="93">
        <f>'OTROS INGRESOS'!G124</f>
        <v>30265.199999999997</v>
      </c>
      <c r="H14" s="93">
        <f>'OTROS INGRESOS'!H124</f>
        <v>30265.199999999997</v>
      </c>
      <c r="I14" s="93">
        <f>'OTROS INGRESOS'!I124</f>
        <v>30265.199999999997</v>
      </c>
      <c r="J14" s="93">
        <f>'OTROS INGRESOS'!J124</f>
        <v>30265.199999999997</v>
      </c>
      <c r="K14" s="93">
        <f>'OTROS INGRESOS'!K124</f>
        <v>30265.199999999997</v>
      </c>
      <c r="L14" s="93">
        <f>'OTROS INGRESOS'!L124</f>
        <v>30265.199999999997</v>
      </c>
      <c r="M14" s="94">
        <f>'OTROS INGRESOS'!M124</f>
        <v>30265.199999999997</v>
      </c>
    </row>
    <row r="15" spans="2:15" ht="17.100000000000001" customHeight="1" x14ac:dyDescent="0.25">
      <c r="B15" s="248" t="s">
        <v>418</v>
      </c>
      <c r="C15" s="88"/>
      <c r="D15" s="93">
        <f>'OTROS INGRESOS'!D99</f>
        <v>6992.8813559322034</v>
      </c>
      <c r="E15" s="93">
        <f>'OTROS INGRESOS'!E99</f>
        <v>7745.7627118644059</v>
      </c>
      <c r="F15" s="93">
        <f>'OTROS INGRESOS'!F99</f>
        <v>8355.9322033898297</v>
      </c>
      <c r="G15" s="93">
        <f>'OTROS INGRESOS'!G99</f>
        <v>9322.0338983050842</v>
      </c>
      <c r="H15" s="93">
        <f>'OTROS INGRESOS'!H99</f>
        <v>10576.271186440677</v>
      </c>
      <c r="I15" s="93">
        <f>'OTROS INGRESOS'!I99</f>
        <v>10966.101694915254</v>
      </c>
      <c r="J15" s="93">
        <f>'OTROS INGRESOS'!J99</f>
        <v>11949.15254237288</v>
      </c>
      <c r="K15" s="93">
        <f>'OTROS INGRESOS'!K99</f>
        <v>13305.08474576271</v>
      </c>
      <c r="L15" s="93">
        <f>'OTROS INGRESOS'!L99</f>
        <v>14067.796610169493</v>
      </c>
      <c r="M15" s="94">
        <f>'OTROS INGRESOS'!M99</f>
        <v>14966.101694915253</v>
      </c>
    </row>
    <row r="16" spans="2:15" ht="17.100000000000001" customHeight="1" x14ac:dyDescent="0.25">
      <c r="B16" s="249" t="s">
        <v>31</v>
      </c>
      <c r="C16" s="253"/>
      <c r="D16" s="254">
        <f t="shared" ref="D16:M16" si="1">SUM(D17:D19)</f>
        <v>71419.153592619463</v>
      </c>
      <c r="E16" s="254">
        <f t="shared" si="1"/>
        <v>78833.655167033168</v>
      </c>
      <c r="F16" s="254">
        <f t="shared" si="1"/>
        <v>84180.290482002616</v>
      </c>
      <c r="G16" s="254">
        <f t="shared" si="1"/>
        <v>90081.315976759768</v>
      </c>
      <c r="H16" s="254">
        <f t="shared" si="1"/>
        <v>96400.275468014312</v>
      </c>
      <c r="I16" s="254">
        <f t="shared" si="1"/>
        <v>103140.56603891091</v>
      </c>
      <c r="J16" s="254">
        <f t="shared" si="1"/>
        <v>110365.15575485502</v>
      </c>
      <c r="K16" s="254">
        <f t="shared" si="1"/>
        <v>118102.17144583049</v>
      </c>
      <c r="L16" s="254">
        <f t="shared" si="1"/>
        <v>126365.60484534371</v>
      </c>
      <c r="M16" s="255">
        <f t="shared" si="1"/>
        <v>135209.29116756862</v>
      </c>
    </row>
    <row r="17" spans="1:15" ht="17.100000000000001" customHeight="1" x14ac:dyDescent="0.25">
      <c r="B17" s="248" t="s">
        <v>4</v>
      </c>
      <c r="C17" s="88"/>
      <c r="D17" s="93">
        <f>'COSTO VARIABLE'!E15</f>
        <v>22432.127487702099</v>
      </c>
      <c r="E17" s="93">
        <f>'COSTO VARIABLE'!F15</f>
        <v>24754.112724684455</v>
      </c>
      <c r="F17" s="93">
        <f>'COSTO VARIABLE'!G15</f>
        <v>26432.854063379535</v>
      </c>
      <c r="G17" s="93">
        <f>'COSTO VARIABLE'!H15</f>
        <v>28283.153847816102</v>
      </c>
      <c r="H17" s="93">
        <f>'COSTO VARIABLE'!I15</f>
        <v>30262.974617163236</v>
      </c>
      <c r="I17" s="93">
        <f>'COSTO VARIABLE'!J15</f>
        <v>32381.382840364662</v>
      </c>
      <c r="J17" s="93">
        <f>'COSTO VARIABLE'!K15</f>
        <v>34648.079639190197</v>
      </c>
      <c r="K17" s="93">
        <f>'COSTO VARIABLE'!L15</f>
        <v>37073.445213933504</v>
      </c>
      <c r="L17" s="93">
        <f>'COSTO VARIABLE'!M15</f>
        <v>39668.586378908862</v>
      </c>
      <c r="M17" s="94">
        <f>'COSTO VARIABLE'!N15</f>
        <v>42445.387425432476</v>
      </c>
    </row>
    <row r="18" spans="1:15" ht="17.100000000000001" customHeight="1" x14ac:dyDescent="0.25">
      <c r="B18" s="248" t="s">
        <v>32</v>
      </c>
      <c r="C18" s="88"/>
      <c r="D18" s="93">
        <f>'COSTO VARIABLE'!E30</f>
        <v>34595.885683484987</v>
      </c>
      <c r="E18" s="93">
        <f>'COSTO VARIABLE'!F30</f>
        <v>38681.899782625092</v>
      </c>
      <c r="F18" s="93">
        <f>'COSTO VARIABLE'!G30</f>
        <v>41271.958772718812</v>
      </c>
      <c r="G18" s="93">
        <f>'COSTO VARIABLE'!H30</f>
        <v>44169.401047826083</v>
      </c>
      <c r="H18" s="93">
        <f>'COSTO VARIABLE'!I30</f>
        <v>47274.526494055273</v>
      </c>
      <c r="I18" s="93">
        <f>'COSTO VARIABLE'!J30</f>
        <v>50576.014636774729</v>
      </c>
      <c r="J18" s="93">
        <f>'COSTO VARIABLE'!K30</f>
        <v>54121.085754569307</v>
      </c>
      <c r="K18" s="93">
        <f>'COSTO VARIABLE'!L30</f>
        <v>57921.016545524755</v>
      </c>
      <c r="L18" s="93">
        <f>'COSTO VARIABLE'!M30</f>
        <v>61971.769102016573</v>
      </c>
      <c r="M18" s="94">
        <f>'COSTO VARIABLE'!N30</f>
        <v>66307.886922208578</v>
      </c>
    </row>
    <row r="19" spans="1:15" ht="17.100000000000001" customHeight="1" x14ac:dyDescent="0.25">
      <c r="B19" s="248" t="s">
        <v>148</v>
      </c>
      <c r="C19" s="88"/>
      <c r="D19" s="93">
        <f>'COSTO VARIABLE'!E43</f>
        <v>14391.140421432379</v>
      </c>
      <c r="E19" s="93">
        <f>'COSTO VARIABLE'!F43</f>
        <v>15397.642659723622</v>
      </c>
      <c r="F19" s="93">
        <f>'COSTO VARIABLE'!G43</f>
        <v>16475.477645904277</v>
      </c>
      <c r="G19" s="93">
        <f>'COSTO VARIABLE'!H43</f>
        <v>17628.76108111758</v>
      </c>
      <c r="H19" s="93">
        <f>'COSTO VARIABLE'!I43</f>
        <v>18862.774356795813</v>
      </c>
      <c r="I19" s="93">
        <f>'COSTO VARIABLE'!J43</f>
        <v>20183.168561771519</v>
      </c>
      <c r="J19" s="93">
        <f>'COSTO VARIABLE'!K43</f>
        <v>21595.99036109553</v>
      </c>
      <c r="K19" s="93">
        <f>'COSTO VARIABLE'!L43</f>
        <v>23107.709686372218</v>
      </c>
      <c r="L19" s="93">
        <f>'COSTO VARIABLE'!M43</f>
        <v>24725.249364418272</v>
      </c>
      <c r="M19" s="95">
        <f>'COSTO VARIABLE'!N43</f>
        <v>26456.016819927554</v>
      </c>
    </row>
    <row r="20" spans="1:15" ht="17.100000000000001" customHeight="1" x14ac:dyDescent="0.25">
      <c r="B20" s="96" t="s">
        <v>33</v>
      </c>
      <c r="C20" s="115"/>
      <c r="D20" s="97">
        <f t="shared" ref="D20:M20" si="2">D11-D16</f>
        <v>1527820.4538216656</v>
      </c>
      <c r="E20" s="97">
        <f t="shared" si="2"/>
        <v>1705712.7141130161</v>
      </c>
      <c r="F20" s="97">
        <f t="shared" si="2"/>
        <v>1817829.0715460617</v>
      </c>
      <c r="G20" s="97">
        <f t="shared" si="2"/>
        <v>1943331.3238339471</v>
      </c>
      <c r="H20" s="97">
        <f t="shared" si="2"/>
        <v>2077834.3800446957</v>
      </c>
      <c r="I20" s="97">
        <f t="shared" si="2"/>
        <v>2220821.4428851134</v>
      </c>
      <c r="J20" s="97">
        <f t="shared" si="2"/>
        <v>2374371.0535226651</v>
      </c>
      <c r="K20" s="97">
        <f t="shared" si="2"/>
        <v>2538966.5000065397</v>
      </c>
      <c r="L20" s="97">
        <f t="shared" si="2"/>
        <v>2714410.6655408954</v>
      </c>
      <c r="M20" s="98">
        <f t="shared" si="2"/>
        <v>2902216.3134677419</v>
      </c>
    </row>
    <row r="21" spans="1:15" ht="17.100000000000001" customHeight="1" x14ac:dyDescent="0.25">
      <c r="B21" s="99" t="s">
        <v>33</v>
      </c>
      <c r="C21" s="100"/>
      <c r="D21" s="100">
        <f t="shared" ref="D21:M21" si="3">IFERROR(D20/D11,0)</f>
        <v>0.95534180540457425</v>
      </c>
      <c r="E21" s="100">
        <f t="shared" si="3"/>
        <v>0.95582426070618853</v>
      </c>
      <c r="F21" s="100">
        <f t="shared" si="3"/>
        <v>0.95574139004644898</v>
      </c>
      <c r="G21" s="100">
        <f t="shared" si="3"/>
        <v>0.95569944131696483</v>
      </c>
      <c r="H21" s="100">
        <f t="shared" si="3"/>
        <v>0.95566243265252249</v>
      </c>
      <c r="I21" s="100">
        <f t="shared" si="3"/>
        <v>0.95561865226589304</v>
      </c>
      <c r="J21" s="100">
        <f t="shared" si="3"/>
        <v>0.95558274743903482</v>
      </c>
      <c r="K21" s="100">
        <f t="shared" si="3"/>
        <v>0.95555170526274924</v>
      </c>
      <c r="L21" s="100">
        <f t="shared" si="3"/>
        <v>0.95551722739919864</v>
      </c>
      <c r="M21" s="101">
        <f t="shared" si="3"/>
        <v>0.95548556285255837</v>
      </c>
    </row>
    <row r="22" spans="1:15" ht="17.100000000000001" customHeight="1" x14ac:dyDescent="0.25">
      <c r="B22" s="249" t="s">
        <v>5</v>
      </c>
      <c r="C22" s="253"/>
      <c r="D22" s="254">
        <f t="shared" ref="D22:M22" si="4">SUM(D23:D33)</f>
        <v>1173557.9496355986</v>
      </c>
      <c r="E22" s="254">
        <f t="shared" si="4"/>
        <v>1250702.7590667494</v>
      </c>
      <c r="F22" s="254">
        <f t="shared" si="4"/>
        <v>1280598.7890859707</v>
      </c>
      <c r="G22" s="254">
        <f t="shared" si="4"/>
        <v>1315535.3410722204</v>
      </c>
      <c r="H22" s="254">
        <f t="shared" si="4"/>
        <v>1380172.0005056432</v>
      </c>
      <c r="I22" s="254">
        <f t="shared" si="4"/>
        <v>1397242.8352971002</v>
      </c>
      <c r="J22" s="254">
        <f t="shared" si="4"/>
        <v>1454582.3925580927</v>
      </c>
      <c r="K22" s="254">
        <f t="shared" si="4"/>
        <v>1501931.2731096637</v>
      </c>
      <c r="L22" s="254">
        <f t="shared" si="4"/>
        <v>1521270.7958704215</v>
      </c>
      <c r="M22" s="255">
        <f t="shared" si="4"/>
        <v>1541079.7214167586</v>
      </c>
      <c r="N22" s="189"/>
    </row>
    <row r="23" spans="1:15" ht="17.100000000000001" customHeight="1" x14ac:dyDescent="0.25">
      <c r="B23" s="248" t="s">
        <v>6</v>
      </c>
      <c r="C23" s="88"/>
      <c r="D23" s="93">
        <f>'COSTO FIJO'!AB10</f>
        <v>406195.92000000004</v>
      </c>
      <c r="E23" s="93">
        <f>'COSTO FIJO'!AC10</f>
        <v>419501.52</v>
      </c>
      <c r="F23" s="93">
        <f>'COSTO FIJO'!AD10</f>
        <v>433472.4</v>
      </c>
      <c r="G23" s="93">
        <f>'COSTO FIJO'!AE10</f>
        <v>448141.82400000002</v>
      </c>
      <c r="H23" s="93">
        <f>'COSTO FIJO'!AF10</f>
        <v>463544.71920000005</v>
      </c>
      <c r="I23" s="93">
        <f>'COSTO FIJO'!AG10</f>
        <v>479717.75916000013</v>
      </c>
      <c r="J23" s="93">
        <f>'COSTO FIJO'!AH10</f>
        <v>496699.45111800008</v>
      </c>
      <c r="K23" s="93">
        <f>'COSTO FIJO'!AI10</f>
        <v>514530.22767390008</v>
      </c>
      <c r="L23" s="93">
        <f>'COSTO FIJO'!AJ10</f>
        <v>533252.54305759515</v>
      </c>
      <c r="M23" s="94">
        <f>'COSTO FIJO'!AK10</f>
        <v>552910.97421047487</v>
      </c>
      <c r="N23" s="189"/>
    </row>
    <row r="24" spans="1:15" ht="17.100000000000001" customHeight="1" x14ac:dyDescent="0.25">
      <c r="B24" s="248" t="s">
        <v>7</v>
      </c>
      <c r="C24" s="88"/>
      <c r="D24" s="93">
        <f>'COSTO FIJO'!AB23+'COSTO FIJO'!AB42+'COSTO FIJO'!AB65+'COSTO FIJO'!AB73</f>
        <v>47186.04468474575</v>
      </c>
      <c r="E24" s="93">
        <f>'COSTO FIJO'!AC23+'COSTO FIJO'!AC42+'COSTO FIJO'!AC65+'COSTO FIJO'!AC73</f>
        <v>47186.04468474575</v>
      </c>
      <c r="F24" s="93">
        <f>'COSTO FIJO'!AD23+'COSTO FIJO'!AD42+'COSTO FIJO'!AD65+'COSTO FIJO'!AD73</f>
        <v>47240.281972881348</v>
      </c>
      <c r="G24" s="93">
        <f>'COSTO FIJO'!AE23+'COSTO FIJO'!AE42+'COSTO FIJO'!AE65+'COSTO FIJO'!AE73</f>
        <v>47240.281972881348</v>
      </c>
      <c r="H24" s="93">
        <f>'COSTO FIJO'!AF23+'COSTO FIJO'!AF42+'COSTO FIJO'!AF65+'COSTO FIJO'!AF73</f>
        <v>47294.51926101694</v>
      </c>
      <c r="I24" s="93">
        <f>'COSTO FIJO'!AG23+'COSTO FIJO'!AG42+'COSTO FIJO'!AG65+'COSTO FIJO'!AG73</f>
        <v>47294.51926101694</v>
      </c>
      <c r="J24" s="93">
        <f>'COSTO FIJO'!AH23+'COSTO FIJO'!AH42+'COSTO FIJO'!AH65+'COSTO FIJO'!AH73</f>
        <v>47294.51926101694</v>
      </c>
      <c r="K24" s="93">
        <f>'COSTO FIJO'!AI23+'COSTO FIJO'!AI42+'COSTO FIJO'!AI65+'COSTO FIJO'!AI73</f>
        <v>47348.756549152531</v>
      </c>
      <c r="L24" s="93">
        <f>'COSTO FIJO'!AJ23+'COSTO FIJO'!AJ42+'COSTO FIJO'!AJ65+'COSTO FIJO'!AJ73</f>
        <v>47348.756549152531</v>
      </c>
      <c r="M24" s="94">
        <f>'COSTO FIJO'!AK23+'COSTO FIJO'!AK42+'COSTO FIJO'!AK65+'COSTO FIJO'!AK73</f>
        <v>47348.756549152531</v>
      </c>
      <c r="N24" s="189"/>
    </row>
    <row r="25" spans="1:15" ht="17.100000000000001" customHeight="1" x14ac:dyDescent="0.25">
      <c r="B25" s="248" t="s">
        <v>632</v>
      </c>
      <c r="C25" s="88"/>
      <c r="D25" s="93">
        <f>'COSTO FIJO'!D178</f>
        <v>511164.71145085292</v>
      </c>
      <c r="E25" s="93">
        <f>'COSTO FIJO'!E178</f>
        <v>556553.0108820037</v>
      </c>
      <c r="F25" s="93">
        <f>'COSTO FIJO'!F178</f>
        <v>571783.9236130896</v>
      </c>
      <c r="G25" s="93">
        <f>'COSTO FIJO'!G178</f>
        <v>592051.05159933912</v>
      </c>
      <c r="H25" s="93">
        <f>'COSTO FIJO'!H178</f>
        <v>641171.87854462618</v>
      </c>
      <c r="I25" s="93">
        <f>'COSTO FIJO'!I178</f>
        <v>642508.12337608344</v>
      </c>
      <c r="J25" s="93">
        <f>'COSTO FIJO'!J178</f>
        <v>681846.23867907585</v>
      </c>
      <c r="K25" s="93">
        <f>'COSTO FIJO'!K178</f>
        <v>710670.10538661119</v>
      </c>
      <c r="L25" s="93">
        <f>'COSTO FIJO'!L178</f>
        <v>712307.06276367395</v>
      </c>
      <c r="M25" s="94">
        <f>'COSTO FIJO'!M178</f>
        <v>714058.60715713119</v>
      </c>
      <c r="N25" s="189"/>
    </row>
    <row r="26" spans="1:15" ht="17.100000000000001" customHeight="1" x14ac:dyDescent="0.25">
      <c r="B26" s="248" t="s">
        <v>633</v>
      </c>
      <c r="C26" s="88"/>
      <c r="D26" s="93">
        <f>'COSTO FIJO'!$G$181</f>
        <v>117000</v>
      </c>
      <c r="E26" s="93">
        <f>'COSTO FIJO'!$G$181</f>
        <v>117000</v>
      </c>
      <c r="F26" s="93">
        <f>'COSTO FIJO'!$G$181</f>
        <v>117000</v>
      </c>
      <c r="G26" s="93">
        <f>'COSTO FIJO'!$G$181</f>
        <v>117000</v>
      </c>
      <c r="H26" s="93">
        <f>'COSTO FIJO'!$G$181</f>
        <v>117000</v>
      </c>
      <c r="I26" s="93">
        <f>'COSTO FIJO'!$G$181</f>
        <v>117000</v>
      </c>
      <c r="J26" s="93">
        <f>'COSTO FIJO'!$G$181</f>
        <v>117000</v>
      </c>
      <c r="K26" s="93">
        <f>'COSTO FIJO'!$G$181</f>
        <v>117000</v>
      </c>
      <c r="L26" s="93">
        <f>'COSTO FIJO'!$G$181</f>
        <v>117000</v>
      </c>
      <c r="M26" s="94">
        <f>'COSTO FIJO'!$G$181</f>
        <v>117000</v>
      </c>
      <c r="N26" s="189"/>
    </row>
    <row r="27" spans="1:15" ht="17.100000000000001" customHeight="1" x14ac:dyDescent="0.25">
      <c r="B27" s="248" t="s">
        <v>634</v>
      </c>
      <c r="C27" s="88"/>
      <c r="D27" s="93">
        <f>'COSTO FIJO'!$G$192</f>
        <v>42480</v>
      </c>
      <c r="E27" s="93">
        <f>'COSTO FIJO'!$G$192</f>
        <v>42480</v>
      </c>
      <c r="F27" s="93">
        <f>'COSTO FIJO'!$G$192</f>
        <v>42480</v>
      </c>
      <c r="G27" s="93">
        <f>'COSTO FIJO'!$G$192</f>
        <v>42480</v>
      </c>
      <c r="H27" s="93">
        <f>'COSTO FIJO'!$G$192</f>
        <v>42480</v>
      </c>
      <c r="I27" s="93">
        <f>'COSTO FIJO'!$G$192</f>
        <v>42480</v>
      </c>
      <c r="J27" s="93">
        <f>'COSTO FIJO'!$G$192</f>
        <v>42480</v>
      </c>
      <c r="K27" s="93">
        <f>'COSTO FIJO'!$G$192</f>
        <v>42480</v>
      </c>
      <c r="L27" s="93">
        <f>'COSTO FIJO'!$G$192</f>
        <v>42480</v>
      </c>
      <c r="M27" s="94">
        <f>'COSTO FIJO'!$G$192</f>
        <v>42480</v>
      </c>
      <c r="N27" s="189"/>
      <c r="O27" s="111"/>
    </row>
    <row r="28" spans="1:15" ht="17.100000000000001" customHeight="1" x14ac:dyDescent="0.25">
      <c r="B28" s="248" t="s">
        <v>706</v>
      </c>
      <c r="C28" s="88"/>
      <c r="D28" s="93">
        <f>'COSTO FIJO'!J270+'COSTO FIJO'!J271</f>
        <v>5531.3600000000006</v>
      </c>
      <c r="E28" s="93">
        <f>'COSTO FIJO'!K270+'COSTO FIJO'!K271</f>
        <v>8412.7200000000012</v>
      </c>
      <c r="F28" s="93">
        <f>'COSTO FIJO'!L270+'COSTO FIJO'!L271</f>
        <v>8412.7200000000012</v>
      </c>
      <c r="G28" s="93">
        <f>'COSTO FIJO'!M270+'COSTO FIJO'!M271</f>
        <v>8412.7200000000012</v>
      </c>
      <c r="H28" s="93">
        <f>'COSTO FIJO'!N270+'COSTO FIJO'!N271</f>
        <v>8412.7200000000012</v>
      </c>
      <c r="I28" s="93">
        <f>'COSTO FIJO'!O270+'COSTO FIJO'!O271</f>
        <v>8412.7200000000012</v>
      </c>
      <c r="J28" s="93">
        <f>'COSTO FIJO'!P270+'COSTO FIJO'!P271</f>
        <v>8412.7200000000012</v>
      </c>
      <c r="K28" s="93">
        <f>'COSTO FIJO'!Q270+'COSTO FIJO'!Q271</f>
        <v>8412.7200000000012</v>
      </c>
      <c r="L28" s="93">
        <f>'COSTO FIJO'!R270+'COSTO FIJO'!R271</f>
        <v>8412.7200000000012</v>
      </c>
      <c r="M28" s="94">
        <f>'COSTO FIJO'!S270+'COSTO FIJO'!S271</f>
        <v>8412.7200000000012</v>
      </c>
      <c r="N28" s="189"/>
      <c r="O28" s="111"/>
    </row>
    <row r="29" spans="1:15" ht="17.100000000000001" customHeight="1" x14ac:dyDescent="0.25">
      <c r="B29" s="248" t="s">
        <v>636</v>
      </c>
      <c r="C29" s="88"/>
      <c r="D29" s="93">
        <f>'COSTO FIJO'!J269</f>
        <v>3200</v>
      </c>
      <c r="E29" s="93">
        <f>'COSTO FIJO'!K269</f>
        <v>14708.199999999999</v>
      </c>
      <c r="F29" s="93">
        <f>'COSTO FIJO'!L269</f>
        <v>15348.199999999999</v>
      </c>
      <c r="G29" s="93">
        <f>'COSTO FIJO'!M269</f>
        <v>15348.199999999999</v>
      </c>
      <c r="H29" s="93">
        <f>'COSTO FIJO'!N269</f>
        <v>15988.199999999999</v>
      </c>
      <c r="I29" s="93">
        <f>'COSTO FIJO'!O269</f>
        <v>15988.199999999999</v>
      </c>
      <c r="J29" s="93">
        <f>'COSTO FIJO'!P269</f>
        <v>15988.199999999999</v>
      </c>
      <c r="K29" s="93">
        <f>'COSTO FIJO'!Q269</f>
        <v>16628.199999999997</v>
      </c>
      <c r="L29" s="93">
        <f>'COSTO FIJO'!R269</f>
        <v>16628.199999999997</v>
      </c>
      <c r="M29" s="94">
        <f>'COSTO FIJO'!S269</f>
        <v>16628.199999999997</v>
      </c>
      <c r="N29" s="189"/>
      <c r="O29" s="111"/>
    </row>
    <row r="30" spans="1:15" ht="17.100000000000001" customHeight="1" x14ac:dyDescent="0.25">
      <c r="B30" s="248" t="s">
        <v>635</v>
      </c>
      <c r="C30" s="88"/>
      <c r="D30" s="93">
        <f>'COSTO FIJO'!J272+'COSTO FIJO'!J273</f>
        <v>470</v>
      </c>
      <c r="E30" s="93">
        <f>'COSTO FIJO'!K272+'COSTO FIJO'!K273</f>
        <v>1019.75</v>
      </c>
      <c r="F30" s="93">
        <f>'COSTO FIJO'!L272+'COSTO FIJO'!L273</f>
        <v>1019.75</v>
      </c>
      <c r="G30" s="93">
        <f>'COSTO FIJO'!M272+'COSTO FIJO'!M273</f>
        <v>1019.75</v>
      </c>
      <c r="H30" s="93">
        <f>'COSTO FIJO'!N272+'COSTO FIJO'!N273</f>
        <v>2039.5</v>
      </c>
      <c r="I30" s="93">
        <f>'COSTO FIJO'!O272+'COSTO FIJO'!O273</f>
        <v>0</v>
      </c>
      <c r="J30" s="93">
        <f>'COSTO FIJO'!P272+'COSTO FIJO'!P273</f>
        <v>1019.75</v>
      </c>
      <c r="K30" s="93">
        <f>'COSTO FIJO'!Q272+'COSTO FIJO'!Q273</f>
        <v>1019.75</v>
      </c>
      <c r="L30" s="93">
        <f>'COSTO FIJO'!R272+'COSTO FIJO'!R273</f>
        <v>0</v>
      </c>
      <c r="M30" s="94">
        <f>'COSTO FIJO'!S272+'COSTO FIJO'!S273</f>
        <v>0</v>
      </c>
      <c r="N30" s="189"/>
    </row>
    <row r="31" spans="1:15" ht="17.100000000000001" customHeight="1" x14ac:dyDescent="0.25">
      <c r="A31" s="189"/>
      <c r="B31" s="248" t="s">
        <v>638</v>
      </c>
      <c r="C31" s="88"/>
      <c r="D31" s="93">
        <f>'COSTO FIJO MARKETING'!J28</f>
        <v>8341.4699999999993</v>
      </c>
      <c r="E31" s="93">
        <f>'COSTO FIJO MARKETING'!K28</f>
        <v>11853.07</v>
      </c>
      <c r="F31" s="93">
        <f>'COSTO FIJO MARKETING'!L28</f>
        <v>11853.07</v>
      </c>
      <c r="G31" s="93">
        <f>'COSTO FIJO MARKETING'!M28</f>
        <v>11853.07</v>
      </c>
      <c r="H31" s="93">
        <f>'COSTO FIJO MARKETING'!N28</f>
        <v>11853.07</v>
      </c>
      <c r="I31" s="93">
        <f>'COSTO FIJO MARKETING'!O28</f>
        <v>11853.07</v>
      </c>
      <c r="J31" s="93">
        <f>'COSTO FIJO MARKETING'!P28</f>
        <v>11853.07</v>
      </c>
      <c r="K31" s="93">
        <f>'COSTO FIJO MARKETING'!Q28</f>
        <v>11853.07</v>
      </c>
      <c r="L31" s="93">
        <f>'COSTO FIJO MARKETING'!R28</f>
        <v>11853.07</v>
      </c>
      <c r="M31" s="94">
        <f>'COSTO FIJO MARKETING'!S28</f>
        <v>11853.07</v>
      </c>
      <c r="N31" s="189"/>
    </row>
    <row r="32" spans="1:15" ht="17.100000000000001" customHeight="1" x14ac:dyDescent="0.25">
      <c r="B32" s="248" t="s">
        <v>35</v>
      </c>
      <c r="C32" s="88"/>
      <c r="D32" s="93">
        <f>CAPEX!C142</f>
        <v>6221.8020000000015</v>
      </c>
      <c r="E32" s="93">
        <f>CAPEX!D142</f>
        <v>6221.8020000000015</v>
      </c>
      <c r="F32" s="93">
        <f>CAPEX!E142</f>
        <v>6221.8020000000015</v>
      </c>
      <c r="G32" s="93">
        <f>CAPEX!F142</f>
        <v>6221.8020000000015</v>
      </c>
      <c r="H32" s="93">
        <f>CAPEX!G142</f>
        <v>6221.8020000000015</v>
      </c>
      <c r="I32" s="93">
        <f>CAPEX!H142</f>
        <v>6221.8020000000015</v>
      </c>
      <c r="J32" s="93">
        <f>CAPEX!I142</f>
        <v>6221.8020000000015</v>
      </c>
      <c r="K32" s="93">
        <f>CAPEX!J142</f>
        <v>6221.8020000000015</v>
      </c>
      <c r="L32" s="93">
        <f>CAPEX!K142</f>
        <v>6221.8020000000015</v>
      </c>
      <c r="M32" s="94">
        <f>CAPEX!L142</f>
        <v>6221.8020000000015</v>
      </c>
      <c r="N32" s="189"/>
    </row>
    <row r="33" spans="1:14" ht="17.100000000000001" customHeight="1" x14ac:dyDescent="0.25">
      <c r="B33" s="248" t="s">
        <v>8</v>
      </c>
      <c r="C33" s="88"/>
      <c r="D33" s="93">
        <f>CAPEX!C125</f>
        <v>25766.641500000002</v>
      </c>
      <c r="E33" s="93">
        <f>CAPEX!D125</f>
        <v>25766.641500000002</v>
      </c>
      <c r="F33" s="93">
        <f>CAPEX!E125</f>
        <v>25766.641500000002</v>
      </c>
      <c r="G33" s="93">
        <f>CAPEX!F125</f>
        <v>25766.641500000002</v>
      </c>
      <c r="H33" s="93">
        <f>CAPEX!G125</f>
        <v>24165.591500000002</v>
      </c>
      <c r="I33" s="93">
        <f>CAPEX!H125</f>
        <v>25766.641500000002</v>
      </c>
      <c r="J33" s="93">
        <f>CAPEX!I125</f>
        <v>25766.641500000002</v>
      </c>
      <c r="K33" s="93">
        <f>CAPEX!J125</f>
        <v>25766.641500000002</v>
      </c>
      <c r="L33" s="93">
        <f>CAPEX!K125</f>
        <v>25766.641500000002</v>
      </c>
      <c r="M33" s="94">
        <f>CAPEX!L125</f>
        <v>24165.591500000002</v>
      </c>
      <c r="N33" s="189"/>
    </row>
    <row r="34" spans="1:14" ht="17.100000000000001" customHeight="1" x14ac:dyDescent="0.25">
      <c r="B34" s="249" t="s">
        <v>59</v>
      </c>
      <c r="C34" s="253"/>
      <c r="D34" s="254">
        <f>D20-D22</f>
        <v>354262.50418606703</v>
      </c>
      <c r="E34" s="254">
        <f t="shared" ref="E34:M34" si="5">E20-E22</f>
        <v>455009.95504626678</v>
      </c>
      <c r="F34" s="254">
        <f t="shared" si="5"/>
        <v>537230.28246009094</v>
      </c>
      <c r="G34" s="254">
        <f t="shared" si="5"/>
        <v>627795.98276172671</v>
      </c>
      <c r="H34" s="254">
        <f t="shared" si="5"/>
        <v>697662.37953905249</v>
      </c>
      <c r="I34" s="254">
        <f t="shared" si="5"/>
        <v>823578.60758801317</v>
      </c>
      <c r="J34" s="254">
        <f t="shared" si="5"/>
        <v>919788.66096457234</v>
      </c>
      <c r="K34" s="254">
        <f t="shared" si="5"/>
        <v>1037035.226896876</v>
      </c>
      <c r="L34" s="254">
        <f t="shared" si="5"/>
        <v>1193139.869670474</v>
      </c>
      <c r="M34" s="255">
        <f t="shared" si="5"/>
        <v>1361136.5920509833</v>
      </c>
    </row>
    <row r="35" spans="1:14" ht="17.100000000000001" customHeight="1" x14ac:dyDescent="0.25">
      <c r="A35" s="116"/>
      <c r="B35" s="248" t="s">
        <v>60</v>
      </c>
      <c r="C35" s="117"/>
      <c r="D35" s="103">
        <f>IF(D34*$C$7&lt;0,0,D34*$C$7)</f>
        <v>106278.75125582011</v>
      </c>
      <c r="E35" s="103">
        <f>IF(E34*$C$7&lt;0,0,E34*$C$7)</f>
        <v>136502.98651388002</v>
      </c>
      <c r="F35" s="103">
        <f>IF(F34*$C$7&lt;0,0,F34*$C$7)</f>
        <v>161169.08473802728</v>
      </c>
      <c r="G35" s="103">
        <f t="shared" ref="G35:M35" si="6">IF(G34*$G$7&lt;0,0,G34*$G$7)</f>
        <v>210311.65422517847</v>
      </c>
      <c r="H35" s="103">
        <f t="shared" si="6"/>
        <v>233716.8971455826</v>
      </c>
      <c r="I35" s="103">
        <f t="shared" si="6"/>
        <v>275898.83354198444</v>
      </c>
      <c r="J35" s="103">
        <f t="shared" si="6"/>
        <v>308129.20142313174</v>
      </c>
      <c r="K35" s="103">
        <f t="shared" si="6"/>
        <v>347406.80101045349</v>
      </c>
      <c r="L35" s="103">
        <f t="shared" si="6"/>
        <v>399701.85633960878</v>
      </c>
      <c r="M35" s="104">
        <f t="shared" si="6"/>
        <v>455980.75833707943</v>
      </c>
    </row>
    <row r="36" spans="1:14" ht="17.100000000000001" customHeight="1" x14ac:dyDescent="0.25">
      <c r="B36" s="96" t="s">
        <v>10</v>
      </c>
      <c r="C36" s="118"/>
      <c r="D36" s="97">
        <f>D34-D35</f>
        <v>247983.75293024693</v>
      </c>
      <c r="E36" s="97">
        <f t="shared" ref="E36:M36" si="7">E34-E35</f>
        <v>318506.96853238676</v>
      </c>
      <c r="F36" s="97">
        <f t="shared" si="7"/>
        <v>376061.19772206363</v>
      </c>
      <c r="G36" s="97">
        <f t="shared" si="7"/>
        <v>417484.32853654824</v>
      </c>
      <c r="H36" s="97">
        <f t="shared" si="7"/>
        <v>463945.48239346989</v>
      </c>
      <c r="I36" s="97">
        <f t="shared" si="7"/>
        <v>547679.77404602873</v>
      </c>
      <c r="J36" s="97">
        <f t="shared" si="7"/>
        <v>611659.45954144059</v>
      </c>
      <c r="K36" s="97">
        <f t="shared" si="7"/>
        <v>689628.42588642251</v>
      </c>
      <c r="L36" s="97">
        <f t="shared" si="7"/>
        <v>793438.01333086519</v>
      </c>
      <c r="M36" s="98">
        <f t="shared" si="7"/>
        <v>905155.83371390391</v>
      </c>
    </row>
    <row r="37" spans="1:14" ht="17.100000000000001" customHeight="1" x14ac:dyDescent="0.25">
      <c r="B37" s="99" t="s">
        <v>11</v>
      </c>
      <c r="C37" s="100"/>
      <c r="D37" s="100">
        <f t="shared" ref="D37:M37" si="8">IFERROR(D36/D11,0)</f>
        <v>0.15506353880967033</v>
      </c>
      <c r="E37" s="100">
        <f t="shared" si="8"/>
        <v>0.17848063463931396</v>
      </c>
      <c r="F37" s="100">
        <f t="shared" si="8"/>
        <v>0.19771784788749891</v>
      </c>
      <c r="G37" s="100">
        <f t="shared" si="8"/>
        <v>0.2053121537473144</v>
      </c>
      <c r="H37" s="100">
        <f t="shared" si="8"/>
        <v>0.21338335363993455</v>
      </c>
      <c r="I37" s="100">
        <f t="shared" si="8"/>
        <v>0.23566640588053334</v>
      </c>
      <c r="J37" s="100">
        <f t="shared" si="8"/>
        <v>0.24616675897329607</v>
      </c>
      <c r="K37" s="100">
        <f t="shared" si="8"/>
        <v>0.25954482595644296</v>
      </c>
      <c r="L37" s="100">
        <f t="shared" si="8"/>
        <v>0.27930323890764808</v>
      </c>
      <c r="M37" s="101">
        <f t="shared" si="8"/>
        <v>0.29800098884152976</v>
      </c>
    </row>
    <row r="38" spans="1:14" ht="17.100000000000001" customHeight="1" x14ac:dyDescent="0.25">
      <c r="B38" s="87"/>
      <c r="C38" s="105"/>
      <c r="D38" s="105"/>
      <c r="E38" s="105"/>
      <c r="F38" s="105"/>
      <c r="G38" s="105"/>
      <c r="H38" s="105"/>
      <c r="I38" s="119"/>
      <c r="J38" s="119"/>
      <c r="K38" s="119"/>
      <c r="L38" s="119"/>
      <c r="M38" s="119"/>
    </row>
    <row r="39" spans="1:14" ht="17.100000000000001" customHeight="1" x14ac:dyDescent="0.25">
      <c r="A39" s="111"/>
      <c r="B39" s="87"/>
      <c r="C39" s="105"/>
      <c r="D39" s="239"/>
      <c r="E39" s="239"/>
      <c r="F39" s="239"/>
      <c r="G39" s="239"/>
      <c r="H39" s="239"/>
      <c r="I39" s="239"/>
      <c r="J39" s="239"/>
      <c r="K39" s="239"/>
      <c r="L39" s="239"/>
      <c r="M39" s="239"/>
    </row>
    <row r="40" spans="1:14" ht="17.100000000000001" customHeight="1" x14ac:dyDescent="0.25">
      <c r="A40" s="111"/>
      <c r="B40" s="87"/>
      <c r="C40" s="105"/>
      <c r="D40" s="290"/>
      <c r="E40" s="290"/>
      <c r="F40" s="290"/>
      <c r="G40" s="290"/>
      <c r="H40" s="290"/>
      <c r="I40" s="290"/>
      <c r="J40" s="290"/>
      <c r="K40" s="290"/>
      <c r="L40" s="290"/>
      <c r="M40" s="290"/>
    </row>
    <row r="41" spans="1:14" x14ac:dyDescent="0.25">
      <c r="A41" s="73"/>
      <c r="C41" s="4"/>
      <c r="D41" s="291"/>
      <c r="E41" s="291"/>
      <c r="F41" s="291"/>
      <c r="G41" s="291"/>
      <c r="H41" s="291"/>
      <c r="I41" s="291"/>
      <c r="J41" s="291"/>
      <c r="K41" s="291"/>
      <c r="L41" s="291"/>
      <c r="M41" s="291"/>
    </row>
    <row r="42" spans="1:14" ht="15" customHeight="1" x14ac:dyDescent="0.25">
      <c r="B42" s="749" t="s">
        <v>36</v>
      </c>
      <c r="C42" s="749" t="s">
        <v>37</v>
      </c>
      <c r="D42" s="749" t="s">
        <v>38</v>
      </c>
      <c r="E42" s="749" t="s">
        <v>40</v>
      </c>
      <c r="F42" s="749" t="s">
        <v>41</v>
      </c>
      <c r="G42" s="749" t="s">
        <v>42</v>
      </c>
      <c r="H42" s="749" t="s">
        <v>43</v>
      </c>
      <c r="I42" s="749" t="s">
        <v>44</v>
      </c>
      <c r="J42" s="749" t="s">
        <v>45</v>
      </c>
      <c r="K42" s="749" t="s">
        <v>46</v>
      </c>
      <c r="L42" s="749" t="s">
        <v>47</v>
      </c>
      <c r="M42" s="749" t="s">
        <v>48</v>
      </c>
    </row>
    <row r="43" spans="1:14" x14ac:dyDescent="0.25">
      <c r="B43" s="750"/>
      <c r="C43" s="750"/>
      <c r="D43" s="750"/>
      <c r="E43" s="750"/>
      <c r="F43" s="750"/>
      <c r="G43" s="750"/>
      <c r="H43" s="750"/>
      <c r="I43" s="750"/>
      <c r="J43" s="750"/>
      <c r="K43" s="750"/>
      <c r="L43" s="750"/>
      <c r="M43" s="750"/>
    </row>
    <row r="44" spans="1:14" ht="18.95" customHeight="1" x14ac:dyDescent="0.25">
      <c r="B44" s="247" t="s">
        <v>61</v>
      </c>
      <c r="C44" s="256"/>
      <c r="D44" s="256">
        <f t="shared" ref="D44:M44" si="9">D36</f>
        <v>247983.75293024693</v>
      </c>
      <c r="E44" s="256">
        <f t="shared" si="9"/>
        <v>318506.96853238676</v>
      </c>
      <c r="F44" s="256">
        <f t="shared" si="9"/>
        <v>376061.19772206363</v>
      </c>
      <c r="G44" s="256">
        <f t="shared" si="9"/>
        <v>417484.32853654824</v>
      </c>
      <c r="H44" s="256">
        <f t="shared" si="9"/>
        <v>463945.48239346989</v>
      </c>
      <c r="I44" s="256">
        <f t="shared" si="9"/>
        <v>547679.77404602873</v>
      </c>
      <c r="J44" s="256">
        <f t="shared" si="9"/>
        <v>611659.45954144059</v>
      </c>
      <c r="K44" s="256">
        <f t="shared" si="9"/>
        <v>689628.42588642251</v>
      </c>
      <c r="L44" s="256">
        <f t="shared" si="9"/>
        <v>793438.01333086519</v>
      </c>
      <c r="M44" s="256">
        <f t="shared" si="9"/>
        <v>905155.83371390391</v>
      </c>
    </row>
    <row r="45" spans="1:14" ht="18.95" customHeight="1" x14ac:dyDescent="0.25">
      <c r="B45" s="248" t="s">
        <v>8</v>
      </c>
      <c r="C45" s="232"/>
      <c r="D45" s="232">
        <f t="shared" ref="D45:M45" si="10">D33</f>
        <v>25766.641500000002</v>
      </c>
      <c r="E45" s="232">
        <f t="shared" si="10"/>
        <v>25766.641500000002</v>
      </c>
      <c r="F45" s="232">
        <f t="shared" si="10"/>
        <v>25766.641500000002</v>
      </c>
      <c r="G45" s="232">
        <f t="shared" si="10"/>
        <v>25766.641500000002</v>
      </c>
      <c r="H45" s="232">
        <f t="shared" si="10"/>
        <v>24165.591500000002</v>
      </c>
      <c r="I45" s="232">
        <f t="shared" si="10"/>
        <v>25766.641500000002</v>
      </c>
      <c r="J45" s="232">
        <f t="shared" si="10"/>
        <v>25766.641500000002</v>
      </c>
      <c r="K45" s="232">
        <f t="shared" si="10"/>
        <v>25766.641500000002</v>
      </c>
      <c r="L45" s="232">
        <f t="shared" si="10"/>
        <v>25766.641500000002</v>
      </c>
      <c r="M45" s="232">
        <f t="shared" si="10"/>
        <v>24165.591500000002</v>
      </c>
    </row>
    <row r="46" spans="1:14" ht="18.95" customHeight="1" x14ac:dyDescent="0.25">
      <c r="B46" s="249" t="s">
        <v>12</v>
      </c>
      <c r="C46" s="257"/>
      <c r="D46" s="257">
        <f>SUM(D44:D45)</f>
        <v>273750.39443024696</v>
      </c>
      <c r="E46" s="257">
        <f t="shared" ref="E46:M46" si="11">SUM(E44:E45)</f>
        <v>344273.61003238679</v>
      </c>
      <c r="F46" s="257">
        <f t="shared" si="11"/>
        <v>401827.83922206366</v>
      </c>
      <c r="G46" s="257">
        <f t="shared" si="11"/>
        <v>443250.97003654827</v>
      </c>
      <c r="H46" s="257">
        <f t="shared" si="11"/>
        <v>488111.07389346987</v>
      </c>
      <c r="I46" s="257">
        <f t="shared" si="11"/>
        <v>573446.41554602876</v>
      </c>
      <c r="J46" s="257">
        <f t="shared" si="11"/>
        <v>637426.10104144062</v>
      </c>
      <c r="K46" s="257">
        <f t="shared" si="11"/>
        <v>715395.06738642254</v>
      </c>
      <c r="L46" s="257">
        <f t="shared" si="11"/>
        <v>819204.65483086521</v>
      </c>
      <c r="M46" s="257">
        <f t="shared" si="11"/>
        <v>929321.42521390389</v>
      </c>
    </row>
    <row r="47" spans="1:14" ht="18.95" customHeight="1" x14ac:dyDescent="0.25">
      <c r="B47" s="248" t="s">
        <v>23</v>
      </c>
      <c r="C47" s="234">
        <f>-CAPEX!B110</f>
        <v>-248060.11499999999</v>
      </c>
      <c r="D47" s="147"/>
      <c r="E47" s="147"/>
      <c r="F47" s="147"/>
      <c r="G47" s="147"/>
      <c r="H47" s="147">
        <f>-CAPEX!G110</f>
        <v>-256310.11499999999</v>
      </c>
      <c r="I47" s="147"/>
      <c r="J47" s="147"/>
      <c r="K47" s="147"/>
      <c r="L47" s="147"/>
      <c r="M47" s="232"/>
    </row>
    <row r="48" spans="1:14" ht="18.95" customHeight="1" x14ac:dyDescent="0.25">
      <c r="B48" s="248" t="s">
        <v>24</v>
      </c>
      <c r="C48" s="234">
        <f>-'PRE-OPERATIVO'!E77</f>
        <v>-895717.92711864412</v>
      </c>
      <c r="D48" s="147"/>
      <c r="E48" s="147"/>
      <c r="F48" s="147"/>
      <c r="G48" s="147"/>
      <c r="H48" s="147"/>
      <c r="I48" s="147"/>
      <c r="J48" s="147"/>
      <c r="K48" s="147"/>
      <c r="L48" s="147"/>
      <c r="M48" s="232"/>
    </row>
    <row r="49" spans="2:17" ht="18.95" customHeight="1" x14ac:dyDescent="0.25">
      <c r="B49" s="248" t="s">
        <v>538</v>
      </c>
      <c r="C49" s="234">
        <f>'CAPITAL DE TRABAJO'!D17</f>
        <v>-104533.94016360147</v>
      </c>
      <c r="D49" s="234">
        <f>'CAPITAL DE TRABAJO'!E17</f>
        <v>-7458.2161296279373</v>
      </c>
      <c r="E49" s="234">
        <f>'CAPITAL DE TRABAJO'!F17</f>
        <v>-3143.9080168685323</v>
      </c>
      <c r="F49" s="234">
        <f>'CAPITAL DE TRABAJO'!G17</f>
        <v>-3641.3975420910283</v>
      </c>
      <c r="G49" s="234">
        <f>'CAPITAL DE TRABAJO'!H17</f>
        <v>-6302.1536511296872</v>
      </c>
      <c r="H49" s="234">
        <f>'CAPITAL DE TRABAJO'!I17</f>
        <v>-2120.9673626842996</v>
      </c>
      <c r="I49" s="234">
        <f>'CAPITAL DE TRABAJO'!J17</f>
        <v>-5671.4864403799002</v>
      </c>
      <c r="J49" s="234">
        <f>'CAPITAL DE TRABAJO'!K17</f>
        <v>-4903.1426136023074</v>
      </c>
      <c r="K49" s="234">
        <f>'CAPITAL DE TRABAJO'!L17</f>
        <v>-2632.2246685846476</v>
      </c>
      <c r="L49" s="234">
        <f>'CAPITAL DE TRABAJO'!M17</f>
        <v>-2876.6609302451252</v>
      </c>
      <c r="M49" s="232">
        <f>'CAPITAL DE TRABAJO'!N17</f>
        <v>143284.09751881493</v>
      </c>
    </row>
    <row r="50" spans="2:17" ht="18.95" customHeight="1" x14ac:dyDescent="0.25">
      <c r="B50" s="289" t="s">
        <v>527</v>
      </c>
      <c r="C50" s="232"/>
      <c r="D50" s="232"/>
      <c r="E50" s="232"/>
      <c r="F50" s="232"/>
      <c r="G50" s="232"/>
      <c r="H50" s="232">
        <f>CAPEX!G157</f>
        <v>77610.044999999998</v>
      </c>
      <c r="I50" s="232"/>
      <c r="J50" s="232"/>
      <c r="K50" s="232"/>
      <c r="L50" s="232"/>
      <c r="M50" s="232">
        <f>CAPEX!L157</f>
        <v>77610.044999999998</v>
      </c>
    </row>
    <row r="51" spans="2:17" s="281" customFormat="1" ht="18.95" customHeight="1" x14ac:dyDescent="0.25">
      <c r="B51" s="280" t="s">
        <v>39</v>
      </c>
      <c r="C51" s="272">
        <f>SUM(C47:C50)</f>
        <v>-1248311.9822822455</v>
      </c>
      <c r="D51" s="146">
        <f>SUM(D46:D49)</f>
        <v>266292.17830061901</v>
      </c>
      <c r="E51" s="146">
        <f t="shared" ref="E51:L51" si="12">SUM(E46:E49)</f>
        <v>341129.70201551827</v>
      </c>
      <c r="F51" s="146">
        <f t="shared" si="12"/>
        <v>398186.44167997263</v>
      </c>
      <c r="G51" s="146">
        <f t="shared" si="12"/>
        <v>436948.81638541858</v>
      </c>
      <c r="H51" s="146">
        <f t="shared" si="12"/>
        <v>229679.99153078557</v>
      </c>
      <c r="I51" s="146">
        <f t="shared" si="12"/>
        <v>567774.92910564889</v>
      </c>
      <c r="J51" s="146">
        <f t="shared" si="12"/>
        <v>632522.95842783828</v>
      </c>
      <c r="K51" s="146">
        <f t="shared" si="12"/>
        <v>712762.84271783789</v>
      </c>
      <c r="L51" s="146">
        <f t="shared" si="12"/>
        <v>816327.99390062015</v>
      </c>
      <c r="M51" s="146">
        <f>SUM(M46:M50)</f>
        <v>1150215.5677327188</v>
      </c>
    </row>
    <row r="52" spans="2:17" s="281" customFormat="1" ht="18.95" customHeight="1" x14ac:dyDescent="0.25">
      <c r="B52" s="282" t="s">
        <v>25</v>
      </c>
      <c r="C52" s="272">
        <f>C51</f>
        <v>-1248311.9822822455</v>
      </c>
      <c r="D52" s="146">
        <f>D51/POWER((1+$C$57),1)</f>
        <v>219424.79704927109</v>
      </c>
      <c r="E52" s="146">
        <f>E51/POWER((1+$C$57),2)</f>
        <v>231618.96949736428</v>
      </c>
      <c r="F52" s="146">
        <f>F51/POWER((1+$C$57),3)</f>
        <v>222775.97515804434</v>
      </c>
      <c r="G52" s="146">
        <f>G51/POWER((1+$C$57),4)</f>
        <v>201437.23317475917</v>
      </c>
      <c r="H52" s="146">
        <f>H51/POWER((1+$C$57),5)</f>
        <v>87248.835437791713</v>
      </c>
      <c r="I52" s="146">
        <f>I51/POWER((1+$C$57),6)</f>
        <v>177721.50495969871</v>
      </c>
      <c r="J52" s="146">
        <f>J51/POWER((1+$C$57),7)</f>
        <v>163142.59239213148</v>
      </c>
      <c r="K52" s="146">
        <f>K51/POWER((1+$C$57),8)</f>
        <v>151482.83066663585</v>
      </c>
      <c r="L52" s="146">
        <f>L51/POWER((1+$C$57),9)</f>
        <v>142958.61944296173</v>
      </c>
      <c r="M52" s="146">
        <f>M51/POWER((1+$C$57),10)</f>
        <v>165978.6363299049</v>
      </c>
    </row>
    <row r="53" spans="2:17" s="281" customFormat="1" ht="18.95" customHeight="1" x14ac:dyDescent="0.25">
      <c r="B53" s="283" t="s">
        <v>26</v>
      </c>
      <c r="C53" s="272">
        <f>C52</f>
        <v>-1248311.9822822455</v>
      </c>
      <c r="D53" s="272">
        <f>C53+D52</f>
        <v>-1028887.1852329745</v>
      </c>
      <c r="E53" s="272">
        <f t="shared" ref="E53:M53" si="13">D53+E52</f>
        <v>-797268.21573561023</v>
      </c>
      <c r="F53" s="272">
        <f t="shared" si="13"/>
        <v>-574492.24057756586</v>
      </c>
      <c r="G53" s="272">
        <f t="shared" si="13"/>
        <v>-373055.00740280666</v>
      </c>
      <c r="H53" s="272">
        <f t="shared" si="13"/>
        <v>-285806.17196501495</v>
      </c>
      <c r="I53" s="272">
        <f t="shared" si="13"/>
        <v>-108084.66700531624</v>
      </c>
      <c r="J53" s="146">
        <f t="shared" si="13"/>
        <v>55057.925386815245</v>
      </c>
      <c r="K53" s="146">
        <f t="shared" si="13"/>
        <v>206540.7560534511</v>
      </c>
      <c r="L53" s="146">
        <f t="shared" si="13"/>
        <v>349499.37549641286</v>
      </c>
      <c r="M53" s="146">
        <f t="shared" si="13"/>
        <v>515478.01182631776</v>
      </c>
    </row>
    <row r="54" spans="2:17" x14ac:dyDescent="0.25"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Q54" s="111"/>
    </row>
    <row r="55" spans="2:17" x14ac:dyDescent="0.25">
      <c r="B55" s="235"/>
      <c r="C55" s="236">
        <f>C52</f>
        <v>-1248311.9822822455</v>
      </c>
      <c r="D55" s="236">
        <f>SUM(C52:D52)</f>
        <v>-1028887.1852329745</v>
      </c>
      <c r="E55" s="236">
        <f>SUM(C52:E52)</f>
        <v>-797268.21573561023</v>
      </c>
      <c r="F55" s="236">
        <f>SUM(C52:F52)</f>
        <v>-574492.24057756586</v>
      </c>
      <c r="G55" s="236">
        <f>SUM(C52:G52)</f>
        <v>-373055.00740280666</v>
      </c>
      <c r="H55" s="236">
        <f>SUM(C52:H52)</f>
        <v>-285806.17196501495</v>
      </c>
      <c r="I55" s="236">
        <f>SUM(C52:I52)</f>
        <v>-108084.66700531624</v>
      </c>
      <c r="J55" s="236">
        <f>SUM(C52:J52)</f>
        <v>55057.925386815245</v>
      </c>
      <c r="K55" s="236">
        <f>SUM(C52:K52)</f>
        <v>206540.7560534511</v>
      </c>
      <c r="L55" s="236">
        <f>SUM(C52:L52)</f>
        <v>349499.37549641286</v>
      </c>
      <c r="M55" s="236">
        <f>SUM(C52:M52)</f>
        <v>515478.01182631776</v>
      </c>
      <c r="N55" s="235"/>
    </row>
    <row r="57" spans="2:17" x14ac:dyDescent="0.25">
      <c r="B57" s="121" t="s">
        <v>536</v>
      </c>
      <c r="C57" s="661">
        <f>COK!C7</f>
        <v>0.213592</v>
      </c>
    </row>
    <row r="58" spans="2:17" x14ac:dyDescent="0.25">
      <c r="B58" s="122"/>
      <c r="C58" s="662"/>
    </row>
    <row r="59" spans="2:17" x14ac:dyDescent="0.25">
      <c r="B59" s="122" t="s">
        <v>62</v>
      </c>
      <c r="C59" s="663">
        <f>SUM(C52:M52)</f>
        <v>515478.01182631776</v>
      </c>
      <c r="E59" s="126"/>
      <c r="F59" s="127"/>
    </row>
    <row r="60" spans="2:17" x14ac:dyDescent="0.25">
      <c r="B60" s="122"/>
      <c r="C60" s="662"/>
    </row>
    <row r="61" spans="2:17" x14ac:dyDescent="0.25">
      <c r="B61" s="122" t="s">
        <v>63</v>
      </c>
      <c r="C61" s="664">
        <f>IRR(C51:M51)</f>
        <v>0.30477329624814775</v>
      </c>
      <c r="E61" s="127"/>
    </row>
    <row r="62" spans="2:17" x14ac:dyDescent="0.25">
      <c r="B62" s="122"/>
      <c r="C62" s="662"/>
      <c r="H62" s="86"/>
    </row>
    <row r="63" spans="2:17" x14ac:dyDescent="0.25">
      <c r="B63" s="123" t="s">
        <v>64</v>
      </c>
      <c r="C63" s="665">
        <f>6-I53/J52</f>
        <v>6.6625165471535635</v>
      </c>
    </row>
    <row r="65" spans="4:12" x14ac:dyDescent="0.25">
      <c r="I65" s="111"/>
    </row>
    <row r="67" spans="4:12" x14ac:dyDescent="0.25">
      <c r="D67" s="4"/>
    </row>
    <row r="73" spans="4:12" x14ac:dyDescent="0.25">
      <c r="J73" s="111"/>
      <c r="L73" s="111"/>
    </row>
    <row r="74" spans="4:12" x14ac:dyDescent="0.25">
      <c r="J74" s="111"/>
      <c r="L74" s="111"/>
    </row>
  </sheetData>
  <mergeCells count="26">
    <mergeCell ref="B3:M4"/>
    <mergeCell ref="B5:M5"/>
    <mergeCell ref="K42:K43"/>
    <mergeCell ref="L42:L43"/>
    <mergeCell ref="M42:M43"/>
    <mergeCell ref="K9:K10"/>
    <mergeCell ref="L9:L10"/>
    <mergeCell ref="M9:M10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H9:H10"/>
    <mergeCell ref="I9:I10"/>
    <mergeCell ref="J9:J10"/>
    <mergeCell ref="G9:G10"/>
    <mergeCell ref="B9:B10"/>
    <mergeCell ref="C9:C10"/>
    <mergeCell ref="D9:D10"/>
    <mergeCell ref="E9:E10"/>
    <mergeCell ref="F9:F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ESTRUCTURA DE COSTOS - PRECIO</vt:lpstr>
      <vt:lpstr>PRE-OPERATIVO</vt:lpstr>
      <vt:lpstr>CAPEX</vt:lpstr>
      <vt:lpstr>CAPITAL DE TRABAJO</vt:lpstr>
      <vt:lpstr>WACC</vt:lpstr>
      <vt:lpstr>DEUDA</vt:lpstr>
      <vt:lpstr>FLUJOS - ESCENARIO CON DEUDA</vt:lpstr>
      <vt:lpstr>COK</vt:lpstr>
      <vt:lpstr>FLUJOS - ESCENARIO SIN DEUDA</vt:lpstr>
      <vt:lpstr>INGRESOS AFILIACIONES</vt:lpstr>
      <vt:lpstr>OTROS INGRESOS</vt:lpstr>
      <vt:lpstr>COSTO VARIABLE</vt:lpstr>
      <vt:lpstr>COSTO FIJO</vt:lpstr>
      <vt:lpstr>COSTO FIJO MARKETING</vt:lpstr>
      <vt:lpstr>PUNTO DE EQUILIBRIO</vt:lpstr>
      <vt:lpstr>SENSIBILIDAD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</dc:creator>
  <cp:lastModifiedBy>Juliana Cayllahua Galindo</cp:lastModifiedBy>
  <cp:lastPrinted>2016-10-01T02:42:42Z</cp:lastPrinted>
  <dcterms:created xsi:type="dcterms:W3CDTF">2016-09-15T18:09:50Z</dcterms:created>
  <dcterms:modified xsi:type="dcterms:W3CDTF">2017-11-23T21:19:36Z</dcterms:modified>
</cp:coreProperties>
</file>