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5330" windowHeight="4455" tabRatio="818" firstSheet="1" activeTab="1"/>
  </bookViews>
  <sheets>
    <sheet name="(COTIZACION)" sheetId="2" r:id="rId1"/>
    <sheet name="INVERSIONES" sheetId="6" r:id="rId2"/>
    <sheet name="C. SUELDOS" sheetId="7" r:id="rId3"/>
    <sheet name="ventas" sheetId="4" r:id="rId4"/>
    <sheet name="ventas + %" sheetId="13" r:id="rId5"/>
    <sheet name="costo paneles" sheetId="14" r:id="rId6"/>
    <sheet name="costo ventas" sheetId="5" r:id="rId7"/>
    <sheet name="G VENTAS Y ADM" sheetId="8" r:id="rId8"/>
    <sheet name="G VENTAS Y ADM (2)" sheetId="15" r:id="rId9"/>
    <sheet name="FLUJO DE CAJA N" sheetId="12" r:id="rId10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5" i="6" l="1"/>
  <c r="D25" i="6"/>
  <c r="C25" i="6"/>
  <c r="G21" i="6"/>
  <c r="F21" i="6"/>
  <c r="E21" i="6"/>
  <c r="C21" i="6"/>
  <c r="C46" i="15"/>
  <c r="C47" i="15" s="1"/>
  <c r="F45" i="15"/>
  <c r="E45" i="15"/>
  <c r="F44" i="15"/>
  <c r="E44" i="15"/>
  <c r="F43" i="15"/>
  <c r="E43" i="15"/>
  <c r="G36" i="15"/>
  <c r="N46" i="15" s="1"/>
  <c r="F36" i="15"/>
  <c r="M46" i="15" s="1"/>
  <c r="E36" i="15"/>
  <c r="L46" i="15" s="1"/>
  <c r="D36" i="15"/>
  <c r="K46" i="15" s="1"/>
  <c r="C36" i="15"/>
  <c r="J46" i="15" s="1"/>
  <c r="G29" i="15"/>
  <c r="I46" i="15" s="1"/>
  <c r="F29" i="15"/>
  <c r="H46" i="15" s="1"/>
  <c r="E29" i="15"/>
  <c r="G46" i="15" s="1"/>
  <c r="D29" i="15"/>
  <c r="F46" i="15" s="1"/>
  <c r="E28" i="15"/>
  <c r="G45" i="15" s="1"/>
  <c r="E27" i="15"/>
  <c r="G44" i="15" s="1"/>
  <c r="E26" i="15"/>
  <c r="G43" i="15" s="1"/>
  <c r="C10" i="15"/>
  <c r="D9" i="15"/>
  <c r="E9" i="15" s="1"/>
  <c r="F9" i="15" s="1"/>
  <c r="G9" i="15" s="1"/>
  <c r="C16" i="15" s="1"/>
  <c r="D16" i="15" s="1"/>
  <c r="E16" i="15" s="1"/>
  <c r="F16" i="15" s="1"/>
  <c r="G16" i="15" s="1"/>
  <c r="D8" i="15"/>
  <c r="E8" i="15" s="1"/>
  <c r="F8" i="15" s="1"/>
  <c r="G8" i="15" s="1"/>
  <c r="C15" i="15" s="1"/>
  <c r="D15" i="15" s="1"/>
  <c r="E15" i="15" s="1"/>
  <c r="F15" i="15" s="1"/>
  <c r="G15" i="15" s="1"/>
  <c r="D7" i="15"/>
  <c r="E7" i="15" s="1"/>
  <c r="F7" i="15" s="1"/>
  <c r="G7" i="15" s="1"/>
  <c r="C14" i="15" s="1"/>
  <c r="D14" i="15" s="1"/>
  <c r="E14" i="15" s="1"/>
  <c r="F14" i="15" s="1"/>
  <c r="G14" i="15" s="1"/>
  <c r="D6" i="15"/>
  <c r="D30" i="15" l="1"/>
  <c r="F27" i="15"/>
  <c r="H44" i="15" s="1"/>
  <c r="E46" i="15"/>
  <c r="F26" i="15"/>
  <c r="H43" i="15" s="1"/>
  <c r="F28" i="15"/>
  <c r="G28" i="15" s="1"/>
  <c r="I45" i="15" s="1"/>
  <c r="D10" i="15"/>
  <c r="E30" i="15"/>
  <c r="E6" i="15"/>
  <c r="M31" i="12"/>
  <c r="M44" i="12" s="1"/>
  <c r="C62" i="6"/>
  <c r="C28" i="12"/>
  <c r="G26" i="15" l="1"/>
  <c r="G27" i="15"/>
  <c r="G30" i="15" s="1"/>
  <c r="H45" i="15"/>
  <c r="C35" i="15"/>
  <c r="D35" i="15" s="1"/>
  <c r="F30" i="15"/>
  <c r="C34" i="15"/>
  <c r="I44" i="15"/>
  <c r="J45" i="15"/>
  <c r="E10" i="15"/>
  <c r="F6" i="15"/>
  <c r="C33" i="15"/>
  <c r="I43" i="15"/>
  <c r="E24" i="8"/>
  <c r="E25" i="8"/>
  <c r="E23" i="8"/>
  <c r="F24" i="8"/>
  <c r="F25" i="8"/>
  <c r="F23" i="8"/>
  <c r="D37" i="5"/>
  <c r="E37" i="5"/>
  <c r="F37" i="5"/>
  <c r="G37" i="5"/>
  <c r="H37" i="5"/>
  <c r="I37" i="5"/>
  <c r="J37" i="5"/>
  <c r="K37" i="5"/>
  <c r="L37" i="5"/>
  <c r="D38" i="5"/>
  <c r="E38" i="5"/>
  <c r="F38" i="5"/>
  <c r="G38" i="5"/>
  <c r="H38" i="5"/>
  <c r="I38" i="5"/>
  <c r="J38" i="5"/>
  <c r="K38" i="5"/>
  <c r="L38" i="5"/>
  <c r="D39" i="5"/>
  <c r="E39" i="5"/>
  <c r="F39" i="5"/>
  <c r="G39" i="5"/>
  <c r="H39" i="5"/>
  <c r="I39" i="5"/>
  <c r="J39" i="5"/>
  <c r="K39" i="5"/>
  <c r="L39" i="5"/>
  <c r="D40" i="5"/>
  <c r="E40" i="5"/>
  <c r="F40" i="5"/>
  <c r="G40" i="5"/>
  <c r="H40" i="5"/>
  <c r="I40" i="5"/>
  <c r="J40" i="5"/>
  <c r="K40" i="5"/>
  <c r="L40" i="5"/>
  <c r="C38" i="5"/>
  <c r="C39" i="5"/>
  <c r="C40" i="5"/>
  <c r="C37" i="5"/>
  <c r="C26" i="8"/>
  <c r="E26" i="8" s="1"/>
  <c r="D34" i="15" l="1"/>
  <c r="J44" i="15"/>
  <c r="E35" i="15"/>
  <c r="K45" i="15"/>
  <c r="J43" i="15"/>
  <c r="C37" i="15"/>
  <c r="D33" i="15"/>
  <c r="F10" i="15"/>
  <c r="G6" i="15"/>
  <c r="C27" i="8"/>
  <c r="F47" i="6"/>
  <c r="G10" i="15" l="1"/>
  <c r="C13" i="15"/>
  <c r="K44" i="15"/>
  <c r="E34" i="15"/>
  <c r="K43" i="15"/>
  <c r="D37" i="15"/>
  <c r="E33" i="15"/>
  <c r="F35" i="15"/>
  <c r="L45" i="15"/>
  <c r="F6" i="4"/>
  <c r="F7" i="4"/>
  <c r="F8" i="4"/>
  <c r="F9" i="4"/>
  <c r="F10" i="4"/>
  <c r="F11" i="4"/>
  <c r="F12" i="4"/>
  <c r="F13" i="4"/>
  <c r="F5" i="4"/>
  <c r="F4" i="4"/>
  <c r="G7" i="4"/>
  <c r="G8" i="4"/>
  <c r="G9" i="4"/>
  <c r="G10" i="4"/>
  <c r="G11" i="4"/>
  <c r="G12" i="4"/>
  <c r="G13" i="4"/>
  <c r="G6" i="4"/>
  <c r="G5" i="4"/>
  <c r="E13" i="7"/>
  <c r="D13" i="7"/>
  <c r="F13" i="7" s="1"/>
  <c r="E12" i="7"/>
  <c r="D12" i="7"/>
  <c r="F12" i="7" s="1"/>
  <c r="E11" i="7"/>
  <c r="D11" i="7"/>
  <c r="D10" i="7"/>
  <c r="F10" i="7" s="1"/>
  <c r="G9" i="7"/>
  <c r="E9" i="7"/>
  <c r="D9" i="7"/>
  <c r="F9" i="7" s="1"/>
  <c r="E8" i="7"/>
  <c r="D8" i="7"/>
  <c r="E7" i="7"/>
  <c r="D7" i="7"/>
  <c r="G7" i="7" s="1"/>
  <c r="E6" i="7"/>
  <c r="D6" i="7"/>
  <c r="N81" i="6"/>
  <c r="N86" i="6" s="1"/>
  <c r="G8" i="7" l="1"/>
  <c r="G35" i="15"/>
  <c r="N45" i="15" s="1"/>
  <c r="M45" i="15"/>
  <c r="L44" i="15"/>
  <c r="F34" i="15"/>
  <c r="E37" i="15"/>
  <c r="F33" i="15"/>
  <c r="L43" i="15"/>
  <c r="C17" i="15"/>
  <c r="D13" i="15"/>
  <c r="H9" i="7"/>
  <c r="F8" i="7"/>
  <c r="H8" i="7" s="1"/>
  <c r="F6" i="7"/>
  <c r="G11" i="7"/>
  <c r="G12" i="7"/>
  <c r="H12" i="7" s="1"/>
  <c r="G13" i="7"/>
  <c r="H13" i="7" s="1"/>
  <c r="G6" i="7"/>
  <c r="F7" i="7"/>
  <c r="H7" i="7" s="1"/>
  <c r="G10" i="7"/>
  <c r="H10" i="7" s="1"/>
  <c r="F11" i="7"/>
  <c r="L6" i="14"/>
  <c r="L7" i="14" s="1"/>
  <c r="I7" i="14" s="1"/>
  <c r="I6" i="14"/>
  <c r="F6" i="14"/>
  <c r="C6" i="14"/>
  <c r="F7" i="14" s="1"/>
  <c r="G11" i="13"/>
  <c r="G12" i="13"/>
  <c r="G13" i="13"/>
  <c r="G7" i="13"/>
  <c r="G8" i="13"/>
  <c r="G9" i="13"/>
  <c r="H9" i="13" s="1"/>
  <c r="G10" i="13"/>
  <c r="G6" i="13"/>
  <c r="F5" i="13"/>
  <c r="F6" i="13"/>
  <c r="F7" i="13"/>
  <c r="F8" i="13"/>
  <c r="F9" i="13"/>
  <c r="F10" i="13"/>
  <c r="F11" i="13"/>
  <c r="F12" i="13"/>
  <c r="F13" i="13"/>
  <c r="H13" i="13" s="1"/>
  <c r="F4" i="13"/>
  <c r="H4" i="13" s="1"/>
  <c r="G5" i="13"/>
  <c r="C28" i="13"/>
  <c r="F27" i="13"/>
  <c r="F26" i="13"/>
  <c r="F25" i="13"/>
  <c r="F24" i="13"/>
  <c r="F23" i="13"/>
  <c r="F22" i="13"/>
  <c r="F21" i="13"/>
  <c r="F20" i="13"/>
  <c r="F19" i="13"/>
  <c r="F18" i="13"/>
  <c r="C14" i="13"/>
  <c r="E23" i="7"/>
  <c r="D23" i="7"/>
  <c r="H11" i="13" l="1"/>
  <c r="G14" i="13"/>
  <c r="H7" i="13"/>
  <c r="D17" i="15"/>
  <c r="E13" i="15"/>
  <c r="G34" i="15"/>
  <c r="N44" i="15" s="1"/>
  <c r="M44" i="15"/>
  <c r="G33" i="15"/>
  <c r="M43" i="15"/>
  <c r="F37" i="15"/>
  <c r="F28" i="13"/>
  <c r="H12" i="13"/>
  <c r="H6" i="13"/>
  <c r="I8" i="14"/>
  <c r="I11" i="14" s="1"/>
  <c r="F8" i="14"/>
  <c r="C7" i="14"/>
  <c r="C8" i="14" s="1"/>
  <c r="H6" i="7"/>
  <c r="I8" i="7" s="1"/>
  <c r="G23" i="7"/>
  <c r="H11" i="7"/>
  <c r="I11" i="7" s="1"/>
  <c r="F23" i="7"/>
  <c r="H23" i="7" s="1"/>
  <c r="I10" i="14"/>
  <c r="H10" i="13"/>
  <c r="H8" i="13"/>
  <c r="H5" i="13"/>
  <c r="F14" i="13"/>
  <c r="G14" i="4"/>
  <c r="F14" i="4"/>
  <c r="N43" i="15" l="1"/>
  <c r="G37" i="15"/>
  <c r="E17" i="15"/>
  <c r="F13" i="15"/>
  <c r="H14" i="13"/>
  <c r="I9" i="14"/>
  <c r="I14" i="14"/>
  <c r="I16" i="14" s="1"/>
  <c r="H14" i="7"/>
  <c r="C10" i="14"/>
  <c r="C11" i="14"/>
  <c r="C9" i="14"/>
  <c r="I35" i="12"/>
  <c r="H35" i="12"/>
  <c r="H33" i="12"/>
  <c r="I33" i="12"/>
  <c r="M35" i="12"/>
  <c r="D25" i="5"/>
  <c r="E25" i="5"/>
  <c r="F25" i="5"/>
  <c r="G25" i="5"/>
  <c r="C25" i="5"/>
  <c r="D20" i="5"/>
  <c r="E20" i="5"/>
  <c r="F20" i="5"/>
  <c r="G20" i="5"/>
  <c r="C20" i="5"/>
  <c r="C23" i="5" s="1"/>
  <c r="D21" i="5"/>
  <c r="E21" i="5" s="1"/>
  <c r="F21" i="5" s="1"/>
  <c r="D22" i="5"/>
  <c r="E22" i="5" s="1"/>
  <c r="F22" i="5" s="1"/>
  <c r="F17" i="15" l="1"/>
  <c r="G13" i="15"/>
  <c r="G17" i="15" s="1"/>
  <c r="D23" i="5"/>
  <c r="C14" i="14"/>
  <c r="C16" i="14" s="1"/>
  <c r="F23" i="5"/>
  <c r="E23" i="5"/>
  <c r="F8" i="5"/>
  <c r="C33" i="12"/>
  <c r="C45" i="12" s="1"/>
  <c r="M37" i="12"/>
  <c r="E41" i="12"/>
  <c r="F41" i="12"/>
  <c r="G41" i="12"/>
  <c r="H41" i="12"/>
  <c r="I41" i="12"/>
  <c r="J41" i="12"/>
  <c r="K41" i="12"/>
  <c r="L41" i="12"/>
  <c r="M41" i="12"/>
  <c r="D41" i="12"/>
  <c r="E35" i="12"/>
  <c r="E37" i="12" s="1"/>
  <c r="E39" i="12" s="1"/>
  <c r="F35" i="12"/>
  <c r="F37" i="12" s="1"/>
  <c r="F39" i="12" s="1"/>
  <c r="G35" i="12"/>
  <c r="H37" i="12"/>
  <c r="I37" i="12"/>
  <c r="I39" i="12" s="1"/>
  <c r="J35" i="12"/>
  <c r="J37" i="12" s="1"/>
  <c r="J39" i="12" s="1"/>
  <c r="K35" i="12"/>
  <c r="L35" i="12"/>
  <c r="D35" i="12"/>
  <c r="D37" i="12" s="1"/>
  <c r="D39" i="12" s="1"/>
  <c r="C83" i="6"/>
  <c r="F81" i="6"/>
  <c r="F86" i="6" s="1"/>
  <c r="G81" i="6"/>
  <c r="G86" i="6" s="1"/>
  <c r="H81" i="6"/>
  <c r="H86" i="6" s="1"/>
  <c r="I81" i="6"/>
  <c r="I86" i="6" s="1"/>
  <c r="J81" i="6"/>
  <c r="J86" i="6" s="1"/>
  <c r="K81" i="6"/>
  <c r="K86" i="6" s="1"/>
  <c r="L81" i="6"/>
  <c r="L86" i="6" s="1"/>
  <c r="M81" i="6"/>
  <c r="M86" i="6" s="1"/>
  <c r="F60" i="6"/>
  <c r="F66" i="6" s="1"/>
  <c r="G60" i="6"/>
  <c r="G66" i="6" s="1"/>
  <c r="H60" i="6"/>
  <c r="H66" i="6" s="1"/>
  <c r="I60" i="6"/>
  <c r="I66" i="6" s="1"/>
  <c r="J60" i="6"/>
  <c r="J66" i="6" s="1"/>
  <c r="K60" i="6"/>
  <c r="K66" i="6" s="1"/>
  <c r="N84" i="6"/>
  <c r="E80" i="6"/>
  <c r="E71" i="6"/>
  <c r="E72" i="6"/>
  <c r="E73" i="6"/>
  <c r="E74" i="6"/>
  <c r="E75" i="6"/>
  <c r="E76" i="6"/>
  <c r="E77" i="6"/>
  <c r="E78" i="6"/>
  <c r="E79" i="6"/>
  <c r="E57" i="6"/>
  <c r="E58" i="6"/>
  <c r="E59" i="6"/>
  <c r="E56" i="6"/>
  <c r="E43" i="12" l="1"/>
  <c r="E45" i="12" s="1"/>
  <c r="E60" i="6"/>
  <c r="E66" i="6" s="1"/>
  <c r="E81" i="6"/>
  <c r="E86" i="6" s="1"/>
  <c r="J43" i="12"/>
  <c r="J45" i="12" s="1"/>
  <c r="F43" i="12"/>
  <c r="F45" i="12" s="1"/>
  <c r="D43" i="12"/>
  <c r="D45" i="12" s="1"/>
  <c r="I43" i="12"/>
  <c r="I45" i="12" s="1"/>
  <c r="L37" i="12"/>
  <c r="L39" i="12" s="1"/>
  <c r="L43" i="12" s="1"/>
  <c r="L45" i="12" s="1"/>
  <c r="K37" i="12"/>
  <c r="K39" i="12" s="1"/>
  <c r="K43" i="12" s="1"/>
  <c r="K45" i="12" s="1"/>
  <c r="G37" i="12"/>
  <c r="G39" i="12" s="1"/>
  <c r="G43" i="12" s="1"/>
  <c r="G45" i="12" s="1"/>
  <c r="H39" i="12"/>
  <c r="H43" i="12" s="1"/>
  <c r="H45" i="12" s="1"/>
  <c r="M39" i="12"/>
  <c r="M43" i="12" s="1"/>
  <c r="M45" i="12" s="1"/>
  <c r="L60" i="6" l="1"/>
  <c r="L66" i="6" s="1"/>
  <c r="M60" i="6"/>
  <c r="M66" i="6" s="1"/>
  <c r="C49" i="12"/>
  <c r="C50" i="12"/>
  <c r="C14" i="4"/>
  <c r="G22" i="5"/>
  <c r="D31" i="6"/>
  <c r="E31" i="6" s="1"/>
  <c r="F19" i="4"/>
  <c r="F18" i="4"/>
  <c r="C15" i="6"/>
  <c r="D100" i="6"/>
  <c r="E19" i="8"/>
  <c r="G26" i="8" s="1"/>
  <c r="F19" i="8"/>
  <c r="H26" i="8" s="1"/>
  <c r="G19" i="8"/>
  <c r="I26" i="8" s="1"/>
  <c r="H19" i="8"/>
  <c r="J26" i="8" s="1"/>
  <c r="I19" i="8"/>
  <c r="K26" i="8" s="1"/>
  <c r="J19" i="8"/>
  <c r="L26" i="8" s="1"/>
  <c r="K19" i="8"/>
  <c r="M26" i="8" s="1"/>
  <c r="L19" i="8"/>
  <c r="N26" i="8" s="1"/>
  <c r="E17" i="8"/>
  <c r="E18" i="8"/>
  <c r="E16" i="8"/>
  <c r="G23" i="8" s="1"/>
  <c r="D19" i="8"/>
  <c r="F26" i="8" s="1"/>
  <c r="H4" i="4"/>
  <c r="F42" i="6"/>
  <c r="F43" i="6"/>
  <c r="F44" i="6"/>
  <c r="F46" i="6"/>
  <c r="F48" i="6"/>
  <c r="F49" i="6"/>
  <c r="F41" i="6"/>
  <c r="H35" i="6"/>
  <c r="H31" i="6"/>
  <c r="E35" i="6"/>
  <c r="E34" i="6"/>
  <c r="D33" i="6"/>
  <c r="E33" i="6" s="1"/>
  <c r="E32" i="6"/>
  <c r="D8" i="8"/>
  <c r="E8" i="8" s="1"/>
  <c r="F8" i="8" s="1"/>
  <c r="G8" i="8" s="1"/>
  <c r="H8" i="8" s="1"/>
  <c r="I8" i="8" s="1"/>
  <c r="J8" i="8" s="1"/>
  <c r="K8" i="8" s="1"/>
  <c r="L8" i="8" s="1"/>
  <c r="D9" i="8"/>
  <c r="E9" i="8" s="1"/>
  <c r="F9" i="8" s="1"/>
  <c r="G9" i="8" s="1"/>
  <c r="H9" i="8" s="1"/>
  <c r="I9" i="8" s="1"/>
  <c r="J9" i="8" s="1"/>
  <c r="K9" i="8" s="1"/>
  <c r="L9" i="8" s="1"/>
  <c r="D7" i="8"/>
  <c r="E7" i="8" s="1"/>
  <c r="F7" i="8" s="1"/>
  <c r="G7" i="8" s="1"/>
  <c r="H7" i="8" s="1"/>
  <c r="I7" i="8" s="1"/>
  <c r="J7" i="8" s="1"/>
  <c r="K7" i="8" s="1"/>
  <c r="L7" i="8" s="1"/>
  <c r="D6" i="8"/>
  <c r="E6" i="8" s="1"/>
  <c r="F6" i="8" s="1"/>
  <c r="G6" i="8" s="1"/>
  <c r="H6" i="8" s="1"/>
  <c r="I6" i="8" s="1"/>
  <c r="J6" i="8" s="1"/>
  <c r="K6" i="8" s="1"/>
  <c r="L6" i="8" s="1"/>
  <c r="F17" i="8" l="1"/>
  <c r="G24" i="8"/>
  <c r="F18" i="8"/>
  <c r="G25" i="8"/>
  <c r="N60" i="6"/>
  <c r="N66" i="6" s="1"/>
  <c r="E20" i="8"/>
  <c r="F16" i="8"/>
  <c r="H23" i="8" s="1"/>
  <c r="F50" i="6"/>
  <c r="H5" i="4"/>
  <c r="H6" i="4"/>
  <c r="H13" i="4"/>
  <c r="H7" i="4"/>
  <c r="E10" i="8"/>
  <c r="F10" i="8"/>
  <c r="G10" i="8"/>
  <c r="H10" i="8"/>
  <c r="D10" i="8"/>
  <c r="C10" i="8"/>
  <c r="E36" i="6"/>
  <c r="G21" i="5"/>
  <c r="C26" i="5" s="1"/>
  <c r="D26" i="5" s="1"/>
  <c r="E26" i="5" s="1"/>
  <c r="F26" i="5" s="1"/>
  <c r="G26" i="5" s="1"/>
  <c r="D20" i="7"/>
  <c r="D21" i="7"/>
  <c r="D22" i="7"/>
  <c r="D24" i="7"/>
  <c r="D25" i="7"/>
  <c r="D19" i="7"/>
  <c r="E20" i="7"/>
  <c r="E21" i="7"/>
  <c r="E22" i="7"/>
  <c r="E24" i="7"/>
  <c r="E25" i="7"/>
  <c r="E19" i="7"/>
  <c r="D14" i="5"/>
  <c r="F5" i="5"/>
  <c r="F6" i="5"/>
  <c r="F7" i="5"/>
  <c r="F9" i="5"/>
  <c r="F10" i="5"/>
  <c r="F11" i="5"/>
  <c r="F12" i="5"/>
  <c r="F13" i="5"/>
  <c r="F4" i="5"/>
  <c r="G18" i="8" l="1"/>
  <c r="H25" i="8"/>
  <c r="F24" i="7"/>
  <c r="G19" i="7"/>
  <c r="G17" i="8"/>
  <c r="H24" i="8"/>
  <c r="F25" i="7"/>
  <c r="G24" i="7"/>
  <c r="H24" i="7" s="1"/>
  <c r="F20" i="7"/>
  <c r="H20" i="7" s="1"/>
  <c r="G20" i="7"/>
  <c r="G25" i="7"/>
  <c r="H25" i="7" s="1"/>
  <c r="F21" i="7"/>
  <c r="H21" i="7" s="1"/>
  <c r="G22" i="7"/>
  <c r="G21" i="7"/>
  <c r="F22" i="7"/>
  <c r="H22" i="7" s="1"/>
  <c r="I23" i="7" s="1"/>
  <c r="F20" i="8"/>
  <c r="G16" i="8"/>
  <c r="I23" i="8" s="1"/>
  <c r="F20" i="4"/>
  <c r="H8" i="4"/>
  <c r="I10" i="8"/>
  <c r="F19" i="7"/>
  <c r="F14" i="5"/>
  <c r="H19" i="7" l="1"/>
  <c r="H17" i="8"/>
  <c r="I24" i="8"/>
  <c r="H18" i="8"/>
  <c r="I25" i="8"/>
  <c r="M20" i="7"/>
  <c r="M22" i="7"/>
  <c r="H26" i="7"/>
  <c r="M18" i="7"/>
  <c r="H16" i="8"/>
  <c r="J23" i="8" s="1"/>
  <c r="G20" i="8"/>
  <c r="F21" i="4"/>
  <c r="H9" i="4"/>
  <c r="D20" i="8"/>
  <c r="J10" i="8"/>
  <c r="I18" i="8" l="1"/>
  <c r="J25" i="8"/>
  <c r="I17" i="8"/>
  <c r="J24" i="8"/>
  <c r="I16" i="8"/>
  <c r="K23" i="8" s="1"/>
  <c r="H20" i="8"/>
  <c r="F22" i="4"/>
  <c r="H10" i="4"/>
  <c r="K10" i="8"/>
  <c r="L10" i="8"/>
  <c r="C27" i="5"/>
  <c r="G23" i="5"/>
  <c r="J18" i="8" l="1"/>
  <c r="K25" i="8"/>
  <c r="J17" i="8"/>
  <c r="K24" i="8"/>
  <c r="J16" i="8"/>
  <c r="L23" i="8" s="1"/>
  <c r="I20" i="8"/>
  <c r="F23" i="4"/>
  <c r="H11" i="4"/>
  <c r="D27" i="5"/>
  <c r="C28" i="5"/>
  <c r="K17" i="8" l="1"/>
  <c r="L24" i="8"/>
  <c r="K18" i="8"/>
  <c r="L25" i="8"/>
  <c r="K16" i="8"/>
  <c r="M23" i="8" s="1"/>
  <c r="J20" i="8"/>
  <c r="F24" i="4"/>
  <c r="H12" i="4"/>
  <c r="H14" i="4" s="1"/>
  <c r="E27" i="5"/>
  <c r="D28" i="5"/>
  <c r="L18" i="8" l="1"/>
  <c r="N25" i="8" s="1"/>
  <c r="M25" i="8"/>
  <c r="L17" i="8"/>
  <c r="N24" i="8" s="1"/>
  <c r="M24" i="8"/>
  <c r="L16" i="8"/>
  <c r="K20" i="8"/>
  <c r="F25" i="4"/>
  <c r="F27" i="5"/>
  <c r="E28" i="5"/>
  <c r="L20" i="8" l="1"/>
  <c r="N23" i="8"/>
  <c r="F26" i="4"/>
  <c r="F27" i="4"/>
  <c r="F28" i="4" s="1"/>
  <c r="C28" i="4"/>
  <c r="G27" i="5"/>
  <c r="F28" i="5"/>
</calcChain>
</file>

<file path=xl/sharedStrings.xml><?xml version="1.0" encoding="utf-8"?>
<sst xmlns="http://schemas.openxmlformats.org/spreadsheetml/2006/main" count="408" uniqueCount="232">
  <si>
    <t>Artefacto</t>
  </si>
  <si>
    <t>Cantidad</t>
  </si>
  <si>
    <t>Potencia Unit.</t>
  </si>
  <si>
    <t>Potencia Total</t>
  </si>
  <si>
    <t>Horas x Día</t>
  </si>
  <si>
    <t>Focos</t>
  </si>
  <si>
    <t>20 W</t>
  </si>
  <si>
    <t>260 W</t>
  </si>
  <si>
    <t>Olla arrocera</t>
  </si>
  <si>
    <t>700 W</t>
  </si>
  <si>
    <t>Refrigeradora</t>
  </si>
  <si>
    <t>300 W</t>
  </si>
  <si>
    <t>600 W</t>
  </si>
  <si>
    <t>Microondas</t>
  </si>
  <si>
    <t>1000 W</t>
  </si>
  <si>
    <t>Tostadora</t>
  </si>
  <si>
    <t>Waflera</t>
  </si>
  <si>
    <t>900 W</t>
  </si>
  <si>
    <t>Televisor</t>
  </si>
  <si>
    <t>100 W</t>
  </si>
  <si>
    <t>Radio</t>
  </si>
  <si>
    <t>50 W</t>
  </si>
  <si>
    <t>Laptop</t>
  </si>
  <si>
    <t>Terma</t>
  </si>
  <si>
    <t>1500 W</t>
  </si>
  <si>
    <t>Plancha</t>
  </si>
  <si>
    <t>Descripción</t>
  </si>
  <si>
    <t>Capacidad</t>
  </si>
  <si>
    <t>Marca</t>
  </si>
  <si>
    <t>Total ($)</t>
  </si>
  <si>
    <t>Sist. de Generación Solar</t>
  </si>
  <si>
    <t>2400 Wp</t>
  </si>
  <si>
    <t>BlueSun</t>
  </si>
  <si>
    <t>Sist. de Acumulación (baterías)</t>
  </si>
  <si>
    <t>17280  Wh</t>
  </si>
  <si>
    <t>Sist. Regulación</t>
  </si>
  <si>
    <t>Jing Neng</t>
  </si>
  <si>
    <t>Sist. Acondicionamiento de Potencia</t>
  </si>
  <si>
    <t>6000 W</t>
  </si>
  <si>
    <t>TRESS</t>
  </si>
  <si>
    <t>Estructura de soporte de paneles</t>
  </si>
  <si>
    <t>-</t>
  </si>
  <si>
    <t>Componentes ($)</t>
  </si>
  <si>
    <t>Instalación ($)</t>
  </si>
  <si>
    <t>Envío ($)</t>
  </si>
  <si>
    <t>Precio Total ($)</t>
  </si>
  <si>
    <t>es un sistema que abarca un 95%</t>
  </si>
  <si>
    <t>Infraestructura Operativa</t>
  </si>
  <si>
    <t>Vida Útil Infraestructura Operativa</t>
  </si>
  <si>
    <t>Infraestructura de Apoyo</t>
  </si>
  <si>
    <t>Desarrollo Plan de Negocios</t>
  </si>
  <si>
    <t>Constitución Legal Empresa</t>
  </si>
  <si>
    <t>Licencias y Permisos</t>
  </si>
  <si>
    <t>Otros</t>
  </si>
  <si>
    <t>VENTAS</t>
  </si>
  <si>
    <t>UTILIDAD ANTES DE IMPUESTOS</t>
  </si>
  <si>
    <t>UTILIDAD NETA</t>
  </si>
  <si>
    <t>(+) DEPRECIACIÓN</t>
  </si>
  <si>
    <t>FONDOS GENERADOS</t>
  </si>
  <si>
    <t>FLUJO ECONÓMICO</t>
  </si>
  <si>
    <t>soles mensuales</t>
  </si>
  <si>
    <t>PROYECCIÓN DE VENTAS A 10 AÑOS</t>
  </si>
  <si>
    <t>AÑO</t>
  </si>
  <si>
    <t>UNIDADES VENDIDAS</t>
  </si>
  <si>
    <t>INCREMENTO PORCENTUAL UNIDADES      VENDIDAS</t>
  </si>
  <si>
    <t>PRECIO DE VENTA PROMEDIO</t>
  </si>
  <si>
    <t>INGRESOS POR CUOTAS PAGADAS</t>
  </si>
  <si>
    <t>TOTAL INGRESOS PROYECTADOS</t>
  </si>
  <si>
    <t>TOTAL</t>
  </si>
  <si>
    <t>DÓLAR 3.4</t>
  </si>
  <si>
    <t>PROYECCIÓN DE COSTO DE MATERIA PRIMA A 10 AÑOS</t>
  </si>
  <si>
    <t>TOTAL COSTOS PROYECTADOS</t>
  </si>
  <si>
    <t>COSTO UNITARIO</t>
  </si>
  <si>
    <t>INVERSION EN INMUEBLE</t>
  </si>
  <si>
    <t>INVERSION EN EQUIPO Y MAQUINARIA</t>
  </si>
  <si>
    <t>CAMIONETA</t>
  </si>
  <si>
    <t>SOLDADORA</t>
  </si>
  <si>
    <t>PRESA</t>
  </si>
  <si>
    <t>TALADRO</t>
  </si>
  <si>
    <t>JUEGO DE HERRAMIENTAS</t>
  </si>
  <si>
    <t>EQUIPO Y MAQUINARIA</t>
  </si>
  <si>
    <t>CANTIDAD</t>
  </si>
  <si>
    <t>COSTO TOTAL</t>
  </si>
  <si>
    <t>VALOR RESIDUAL CONTABLE</t>
  </si>
  <si>
    <t>VALOR RESIDUAL MERCADO</t>
  </si>
  <si>
    <t>TIEMPO VIDA UTIL</t>
  </si>
  <si>
    <t>INVERSION EN MUEBLES, EQUIPOS COMPUTO, ENSERES</t>
  </si>
  <si>
    <t>LAPTOP</t>
  </si>
  <si>
    <t>TABLET PC</t>
  </si>
  <si>
    <t>COMPUTADORA ESCRITORIO</t>
  </si>
  <si>
    <t>EQUIPO/MUEBLE</t>
  </si>
  <si>
    <t>AREA</t>
  </si>
  <si>
    <t>VALOR UNITARIO</t>
  </si>
  <si>
    <t>VALOR TOTAL</t>
  </si>
  <si>
    <t>CONTABILIDAD/FACTURACION</t>
  </si>
  <si>
    <t>GERENCIA</t>
  </si>
  <si>
    <t>SALA</t>
  </si>
  <si>
    <t>ESCRITORIO</t>
  </si>
  <si>
    <t>MESAS</t>
  </si>
  <si>
    <t>EXHIBIDORES</t>
  </si>
  <si>
    <t>SHOWROOM</t>
  </si>
  <si>
    <t>ALMACEN</t>
  </si>
  <si>
    <t>SALARIOS</t>
  </si>
  <si>
    <t xml:space="preserve">GERENTE </t>
  </si>
  <si>
    <t>AUXILIAR CONTABLE</t>
  </si>
  <si>
    <t>JEFE INSTALACION</t>
  </si>
  <si>
    <t>SUELDO MENSUAL</t>
  </si>
  <si>
    <t>ANUAL</t>
  </si>
  <si>
    <t>RECEPCIONISTA</t>
  </si>
  <si>
    <t>TOTAL ANUAL</t>
  </si>
  <si>
    <t>PROYECCIÓN DE COSTO DE VENTAS A 10 AÑOS</t>
  </si>
  <si>
    <t>MATERIA PRIMA</t>
  </si>
  <si>
    <t>MANO DE OBRA</t>
  </si>
  <si>
    <t>GASTOS DE INSTALACION</t>
  </si>
  <si>
    <t>TOTAL COSTO DE VENTAS</t>
  </si>
  <si>
    <t>GRATIFICACION</t>
  </si>
  <si>
    <t>ESSALUD</t>
  </si>
  <si>
    <t>SENATI</t>
  </si>
  <si>
    <t>GASTOS ADMNISTRATIVOS</t>
  </si>
  <si>
    <t>GASTOS EN VENTAS</t>
  </si>
  <si>
    <t>SUELDOS</t>
  </si>
  <si>
    <t>ARRIENDOS</t>
  </si>
  <si>
    <t>SERVICIOS</t>
  </si>
  <si>
    <t>MATERIALES DE OFICINA</t>
  </si>
  <si>
    <t>PROYECCIÓN DE GASTOS ADMINISTRATIVOS A 10 AÑOS</t>
  </si>
  <si>
    <t>PUBLICIDAD</t>
  </si>
  <si>
    <t>TRANSPORTE</t>
  </si>
  <si>
    <t>COMISIONES</t>
  </si>
  <si>
    <t>PROYECCIÓN DE GASTOS DE VENTAS A 10 AÑOS</t>
  </si>
  <si>
    <t>HACER MODIFICIACIONES EN MARKETING MIX, CONSIDERAR COSTOS COMBUSTIBLE, MANTENIMIENTO VEHICULO Y % DE VENTAS TOTALES PARA VENDEDORES</t>
  </si>
  <si>
    <t xml:space="preserve">PUBLICIDAD </t>
  </si>
  <si>
    <t>MENSUALES</t>
  </si>
  <si>
    <t>(COMBUSTIBLE Y MANT)</t>
  </si>
  <si>
    <t xml:space="preserve">COMISIONES </t>
  </si>
  <si>
    <t>CAPITAL DE TRABAJO</t>
  </si>
  <si>
    <t>60 DIAS DE INVENTARIO</t>
  </si>
  <si>
    <t>ACTIVO FIJO</t>
  </si>
  <si>
    <t>MUEBLES Y ENSERES</t>
  </si>
  <si>
    <t>VEHICULOS</t>
  </si>
  <si>
    <t>ACTIVO DIFERIDO</t>
  </si>
  <si>
    <t xml:space="preserve">INFRAESTRUCTURA OPERATIVA </t>
  </si>
  <si>
    <t>CONSTITUCION EMPRESA Y OTROS</t>
  </si>
  <si>
    <t>EQUIPOS DE COMPUTACION</t>
  </si>
  <si>
    <t>GASTOS PRE OPERATIVOS</t>
  </si>
  <si>
    <t>FLUJO DE CAJA</t>
  </si>
  <si>
    <t>COSTO DE VENTAS</t>
  </si>
  <si>
    <t>GASTOS DE VENTAS</t>
  </si>
  <si>
    <t>% INCREMENTO ANUAL</t>
  </si>
  <si>
    <t>Mano de Obra</t>
  </si>
  <si>
    <t>Gastos de Instalacion</t>
  </si>
  <si>
    <t>Materia Prima</t>
  </si>
  <si>
    <t>Sueldos</t>
  </si>
  <si>
    <t>Arriendos</t>
  </si>
  <si>
    <t>Servicios</t>
  </si>
  <si>
    <t>Publicidad</t>
  </si>
  <si>
    <t xml:space="preserve">Transporte </t>
  </si>
  <si>
    <t>Comisiones</t>
  </si>
  <si>
    <t>Materiales de Oficina</t>
  </si>
  <si>
    <t>DEPRECIACION INFRAESTRUCTURA OPERATIVA</t>
  </si>
  <si>
    <t>DEPRECIACION INFRAESTRUCTURA DE APOYO</t>
  </si>
  <si>
    <t>INVERSIONES</t>
  </si>
  <si>
    <t>COSTO</t>
  </si>
  <si>
    <t>TIEMPO</t>
  </si>
  <si>
    <t>INVERSION EN ACTIVO FIJO</t>
  </si>
  <si>
    <t>RECUPERACION VENTA ACTIVO (+)</t>
  </si>
  <si>
    <t>ADMINISTRACION</t>
  </si>
  <si>
    <t>VEHICULO</t>
  </si>
  <si>
    <t>GASTOS PREOPERATIVOS</t>
  </si>
  <si>
    <t>FLUJO INVERSIONES</t>
  </si>
  <si>
    <t>IMPUESTOS (30%)</t>
  </si>
  <si>
    <t>Recuperacion Capital de Trabajo</t>
  </si>
  <si>
    <t>+ RECUPERACION CT Y RESCATE</t>
  </si>
  <si>
    <t>TIR</t>
  </si>
  <si>
    <t>VPN</t>
  </si>
  <si>
    <t>Capital de Trabajo Inicial</t>
  </si>
  <si>
    <t>2000000+2200000</t>
  </si>
  <si>
    <t>2000000+2200000+2420000</t>
  </si>
  <si>
    <t>666*4000</t>
  </si>
  <si>
    <t>2000000+2200000+2420000+2664000</t>
  </si>
  <si>
    <t>2000000+2200000+2420000+2664000+2928000</t>
  </si>
  <si>
    <t>TOTAL INVERSIONES</t>
  </si>
  <si>
    <t>INVENTARIO INICIAL</t>
  </si>
  <si>
    <t>GASTOS ADMINISTRATIVOS</t>
  </si>
  <si>
    <t>PRD</t>
  </si>
  <si>
    <t>Tasa de Descuento</t>
  </si>
  <si>
    <t>CRM - Marketing</t>
  </si>
  <si>
    <t>INGRESOS CUOTAS INICIAL (50%)</t>
  </si>
  <si>
    <t>PANELES DE 300 W</t>
  </si>
  <si>
    <t>PANELES DE 250 W</t>
  </si>
  <si>
    <t>Costo de importración de Sistema 
de paneles solares</t>
  </si>
  <si>
    <t>Costos complementarios</t>
  </si>
  <si>
    <t>WP de Sistema</t>
  </si>
  <si>
    <t>Inversor de potencia 6000 W</t>
  </si>
  <si>
    <t>Costo FOB x WP</t>
  </si>
  <si>
    <t>Regulador de carga</t>
  </si>
  <si>
    <t>Costo FOB Paneles ( 8 paneles)</t>
  </si>
  <si>
    <t>Baterías (cant: 10)</t>
  </si>
  <si>
    <t>Costo FOB Paneles (8 paneles)</t>
  </si>
  <si>
    <t>Costo FOB Sistema</t>
  </si>
  <si>
    <t>IGV</t>
  </si>
  <si>
    <t>Impuesto de promoción municipal</t>
  </si>
  <si>
    <t>Seguro</t>
  </si>
  <si>
    <t>Aranceles</t>
  </si>
  <si>
    <t>COSTO FINAL</t>
  </si>
  <si>
    <t>T.C</t>
  </si>
  <si>
    <t>T.C.</t>
  </si>
  <si>
    <t xml:space="preserve">COSTO FINAL </t>
  </si>
  <si>
    <t>Soporte y cableado (40% costo paneles)</t>
  </si>
  <si>
    <t>INVENTARIO AÑO 1 =         2'625,000</t>
  </si>
  <si>
    <t>INVERSION EN CAPITAL DE TRABAJO</t>
  </si>
  <si>
    <t>INCREMENTO COSTO DE VENTAS</t>
  </si>
  <si>
    <t>HERRRAMIENTAS</t>
  </si>
  <si>
    <t>EQUIPO</t>
  </si>
  <si>
    <t>INVERSION ANUAL</t>
  </si>
  <si>
    <t>REMUNERACIONES AÑO 1</t>
  </si>
  <si>
    <t>REMUNERACIONES AÑOS 2 - 10</t>
  </si>
  <si>
    <t>VENDEDORES TEMPORALES (7)</t>
  </si>
  <si>
    <t>VENDEDORES FIJOS (3)</t>
  </si>
  <si>
    <t>AUXILIARES INSTALACION (2)</t>
  </si>
  <si>
    <t>VENDEDORES (3)</t>
  </si>
  <si>
    <t>Costo de importación de Sistema 
de paneles solares</t>
  </si>
  <si>
    <t>FALTA DEFINIR INVERSION EN EQUIPOS DE COMPUTO</t>
  </si>
  <si>
    <t>VALOR RESIDUAL</t>
  </si>
  <si>
    <t>PARIHUELA</t>
  </si>
  <si>
    <t>Q PANELES 2 MESES</t>
  </si>
  <si>
    <t>ESPACIO 150</t>
  </si>
  <si>
    <t>MESA</t>
  </si>
  <si>
    <t>INGRESOS CUOTAS INICIAL (40%)</t>
  </si>
  <si>
    <t>Infraestructura Operativa anual</t>
  </si>
  <si>
    <t>MAQUINARIA Y HERRAMIENTAS</t>
  </si>
  <si>
    <t>7.7 años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</si>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</sst>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&quot;S/.&quot;#,##0.00;[Red]\-&quot;S/.&quot;#,##0.00"/>
    <numFmt numFmtId="165" formatCode="_-&quot;S/.&quot;* #,##0.00_-;\-&quot;S/.&quot;* #,##0.00_-;_-&quot;S/.&quot;* &quot;-&quot;??_-;_-@_-"/>
    <numFmt numFmtId="166" formatCode="&quot;S/.&quot;#,##0.00"/>
    <numFmt numFmtId="167" formatCode="[$$-2409]#,##0.00"/>
    <numFmt numFmtId="168" formatCode="[$$-409]#,##0.00"/>
    <numFmt numFmtId="169" formatCode="&quot;S/.&quot;\ #,##0.00"/>
    <numFmt numFmtId="170" formatCode="[$$-540A]#,##0.00"/>
    <numFmt numFmtId="171" formatCode="_-[$S/.-280A]* #,##0.00_-;\-[$S/.-280A]* #,##0.00_-;_-[$S/.-280A]* &quot;-&quot;??_-;_-@_-"/>
  </numFmts>
  <fonts count="28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8.5"/>
      <color rgb="FFFFFFFF"/>
      <name val="Times New Roman"/>
      <family val="1"/>
    </font>
    <font>
      <b/>
      <sz val="8.5"/>
      <color theme="1"/>
      <name val="Times New Roman"/>
      <family val="1"/>
    </font>
    <font>
      <sz val="9"/>
      <color theme="1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Times New Roman"/>
      <family val="1"/>
    </font>
    <font>
      <sz val="9"/>
      <color rgb="FF000000"/>
      <name val="Times New Roman"/>
      <family val="1"/>
    </font>
    <font>
      <b/>
      <sz val="9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sz val="10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sz val="10"/>
      <color theme="0"/>
      <name val="Times New Roman"/>
      <family val="1"/>
    </font>
    <font>
      <sz val="10"/>
      <color theme="1"/>
      <name val="Times New Roman"/>
    </font>
    <font>
      <b/>
      <sz val="12"/>
      <color theme="0"/>
      <name val="Times New Roman"/>
      <family val="1"/>
    </font>
    <font>
      <sz val="9"/>
      <name val="Times New Roman"/>
      <family val="1"/>
    </font>
    <font>
      <b/>
      <sz val="9"/>
      <color theme="1"/>
      <name val="Times New Roman"/>
      <family val="1"/>
    </font>
    <font>
      <b/>
      <sz val="8"/>
      <color rgb="FFFF0000"/>
      <name val="Times New Roman"/>
      <family val="1"/>
    </font>
    <font>
      <b/>
      <sz val="9"/>
      <name val="Times New Roman"/>
      <family val="1"/>
    </font>
    <font>
      <b/>
      <sz val="10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BE8F00"/>
        <bgColor indexed="64"/>
      </patternFill>
    </fill>
    <fill>
      <patternFill patternType="solid">
        <fgColor rgb="FF6FAC46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7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0" fontId="5" fillId="0" borderId="0"/>
    <xf numFmtId="0" fontId="6" fillId="0" borderId="0"/>
    <xf numFmtId="9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340">
    <xf numFmtId="0" fontId="0" fillId="0" borderId="0" xfId="0"/>
    <xf numFmtId="0" fontId="2" fillId="2" borderId="1" xfId="0" applyFont="1" applyFill="1" applyBorder="1" applyAlignment="1">
      <alignment horizontal="justify" vertical="center" wrapText="1"/>
    </xf>
    <xf numFmtId="0" fontId="2" fillId="3" borderId="2" xfId="0" applyFont="1" applyFill="1" applyBorder="1" applyAlignment="1">
      <alignment horizontal="justify" vertical="center" wrapText="1"/>
    </xf>
    <xf numFmtId="0" fontId="2" fillId="2" borderId="9" xfId="0" applyFont="1" applyFill="1" applyBorder="1" applyAlignment="1">
      <alignment horizontal="justify" vertical="center" wrapText="1"/>
    </xf>
    <xf numFmtId="0" fontId="2" fillId="3" borderId="10" xfId="0" applyFont="1" applyFill="1" applyBorder="1" applyAlignment="1">
      <alignment horizontal="justify" vertical="center" wrapText="1"/>
    </xf>
    <xf numFmtId="0" fontId="2" fillId="2" borderId="11" xfId="0" applyFont="1" applyFill="1" applyBorder="1" applyAlignment="1">
      <alignment horizontal="justify" vertical="center" wrapText="1"/>
    </xf>
    <xf numFmtId="0" fontId="3" fillId="0" borderId="12" xfId="0" applyFont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justify" vertical="center" wrapText="1"/>
    </xf>
    <xf numFmtId="0" fontId="3" fillId="0" borderId="7" xfId="0" applyFont="1" applyBorder="1" applyAlignment="1">
      <alignment horizontal="center" vertical="center" wrapText="1"/>
    </xf>
    <xf numFmtId="0" fontId="1" fillId="5" borderId="24" xfId="0" applyFont="1" applyFill="1" applyBorder="1" applyAlignment="1">
      <alignment horizontal="justify" vertical="center" wrapText="1"/>
    </xf>
    <xf numFmtId="0" fontId="3" fillId="0" borderId="1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justify" vertical="center" wrapText="1"/>
    </xf>
    <xf numFmtId="0" fontId="8" fillId="7" borderId="31" xfId="0" applyFont="1" applyFill="1" applyBorder="1" applyAlignment="1">
      <alignment horizontal="center" vertical="center" wrapText="1"/>
    </xf>
    <xf numFmtId="0" fontId="8" fillId="7" borderId="20" xfId="0" applyFont="1" applyFill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164" fontId="8" fillId="0" borderId="20" xfId="0" applyNumberFormat="1" applyFont="1" applyBorder="1" applyAlignment="1">
      <alignment horizontal="center" vertical="center" wrapText="1"/>
    </xf>
    <xf numFmtId="164" fontId="8" fillId="0" borderId="20" xfId="0" applyNumberFormat="1" applyFont="1" applyBorder="1" applyAlignment="1">
      <alignment horizontal="right" vertical="center" wrapText="1"/>
    </xf>
    <xf numFmtId="9" fontId="8" fillId="7" borderId="20" xfId="0" applyNumberFormat="1" applyFont="1" applyFill="1" applyBorder="1" applyAlignment="1">
      <alignment horizontal="center" vertical="center" wrapText="1"/>
    </xf>
    <xf numFmtId="9" fontId="8" fillId="0" borderId="20" xfId="0" applyNumberFormat="1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164" fontId="9" fillId="0" borderId="20" xfId="0" applyNumberFormat="1" applyFont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 wrapText="1"/>
    </xf>
    <xf numFmtId="9" fontId="0" fillId="0" borderId="0" xfId="0" applyNumberFormat="1"/>
    <xf numFmtId="0" fontId="0" fillId="5" borderId="0" xfId="0" applyFill="1"/>
    <xf numFmtId="0" fontId="9" fillId="0" borderId="0" xfId="0" applyFont="1" applyFill="1" applyBorder="1" applyAlignment="1">
      <alignment horizontal="left" vertical="center" wrapText="1"/>
    </xf>
    <xf numFmtId="10" fontId="0" fillId="0" borderId="0" xfId="0" applyNumberFormat="1"/>
    <xf numFmtId="1" fontId="8" fillId="7" borderId="20" xfId="0" applyNumberFormat="1" applyFont="1" applyFill="1" applyBorder="1" applyAlignment="1">
      <alignment horizontal="center" vertical="center" wrapText="1"/>
    </xf>
    <xf numFmtId="9" fontId="8" fillId="0" borderId="20" xfId="5" applyFont="1" applyBorder="1" applyAlignment="1">
      <alignment horizontal="center" vertical="center" wrapText="1"/>
    </xf>
    <xf numFmtId="9" fontId="8" fillId="7" borderId="20" xfId="5" applyFont="1" applyFill="1" applyBorder="1" applyAlignment="1">
      <alignment horizontal="center" vertical="center" wrapText="1"/>
    </xf>
    <xf numFmtId="1" fontId="9" fillId="0" borderId="20" xfId="0" applyNumberFormat="1" applyFont="1" applyBorder="1" applyAlignment="1">
      <alignment horizontal="center" vertical="center" wrapText="1"/>
    </xf>
    <xf numFmtId="0" fontId="11" fillId="0" borderId="0" xfId="0" applyFont="1"/>
    <xf numFmtId="1" fontId="0" fillId="0" borderId="0" xfId="0" applyNumberFormat="1"/>
    <xf numFmtId="0" fontId="13" fillId="0" borderId="0" xfId="1" applyFont="1"/>
    <xf numFmtId="0" fontId="11" fillId="0" borderId="13" xfId="0" applyFont="1" applyBorder="1"/>
    <xf numFmtId="166" fontId="11" fillId="0" borderId="0" xfId="0" applyNumberFormat="1" applyFont="1"/>
    <xf numFmtId="0" fontId="11" fillId="0" borderId="44" xfId="0" applyFont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1" fillId="0" borderId="46" xfId="0" applyFont="1" applyBorder="1"/>
    <xf numFmtId="0" fontId="11" fillId="0" borderId="48" xfId="0" applyFont="1" applyBorder="1"/>
    <xf numFmtId="0" fontId="11" fillId="0" borderId="34" xfId="0" applyFont="1" applyBorder="1" applyAlignment="1">
      <alignment horizontal="center" vertical="center" wrapText="1"/>
    </xf>
    <xf numFmtId="0" fontId="11" fillId="0" borderId="46" xfId="0" applyFont="1" applyFill="1" applyBorder="1"/>
    <xf numFmtId="0" fontId="11" fillId="0" borderId="13" xfId="0" applyFont="1" applyFill="1" applyBorder="1"/>
    <xf numFmtId="0" fontId="11" fillId="0" borderId="48" xfId="0" applyFont="1" applyFill="1" applyBorder="1"/>
    <xf numFmtId="0" fontId="11" fillId="0" borderId="43" xfId="0" applyFont="1" applyFill="1" applyBorder="1"/>
    <xf numFmtId="0" fontId="11" fillId="0" borderId="37" xfId="0" applyFont="1" applyFill="1" applyBorder="1"/>
    <xf numFmtId="0" fontId="11" fillId="0" borderId="42" xfId="0" applyFont="1" applyFill="1" applyBorder="1"/>
    <xf numFmtId="0" fontId="11" fillId="0" borderId="15" xfId="0" applyFont="1" applyBorder="1"/>
    <xf numFmtId="0" fontId="14" fillId="0" borderId="0" xfId="0" applyFont="1"/>
    <xf numFmtId="0" fontId="15" fillId="0" borderId="0" xfId="0" applyFont="1"/>
    <xf numFmtId="4" fontId="15" fillId="0" borderId="0" xfId="0" applyNumberFormat="1" applyFont="1" applyAlignment="1">
      <alignment wrapText="1"/>
    </xf>
    <xf numFmtId="0" fontId="16" fillId="0" borderId="0" xfId="0" applyFont="1"/>
    <xf numFmtId="0" fontId="16" fillId="0" borderId="13" xfId="0" applyFont="1" applyBorder="1"/>
    <xf numFmtId="167" fontId="16" fillId="0" borderId="13" xfId="0" applyNumberFormat="1" applyFont="1" applyBorder="1"/>
    <xf numFmtId="168" fontId="16" fillId="0" borderId="13" xfId="0" applyNumberFormat="1" applyFont="1" applyBorder="1"/>
    <xf numFmtId="0" fontId="16" fillId="8" borderId="13" xfId="0" applyFont="1" applyFill="1" applyBorder="1"/>
    <xf numFmtId="167" fontId="16" fillId="8" borderId="13" xfId="0" applyNumberFormat="1" applyFont="1" applyFill="1" applyBorder="1"/>
    <xf numFmtId="0" fontId="16" fillId="0" borderId="13" xfId="0" applyFont="1" applyFill="1" applyBorder="1"/>
    <xf numFmtId="168" fontId="16" fillId="0" borderId="0" xfId="0" applyNumberFormat="1" applyFont="1"/>
    <xf numFmtId="0" fontId="16" fillId="9" borderId="13" xfId="0" applyFont="1" applyFill="1" applyBorder="1"/>
    <xf numFmtId="169" fontId="16" fillId="9" borderId="13" xfId="0" applyNumberFormat="1" applyFont="1" applyFill="1" applyBorder="1"/>
    <xf numFmtId="0" fontId="17" fillId="0" borderId="51" xfId="0" applyFont="1" applyBorder="1"/>
    <xf numFmtId="0" fontId="16" fillId="0" borderId="35" xfId="0" applyFont="1" applyBorder="1"/>
    <xf numFmtId="0" fontId="16" fillId="0" borderId="35" xfId="0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44" xfId="0" applyFont="1" applyBorder="1"/>
    <xf numFmtId="0" fontId="16" fillId="0" borderId="46" xfId="0" applyFont="1" applyBorder="1"/>
    <xf numFmtId="0" fontId="16" fillId="0" borderId="43" xfId="0" applyFont="1" applyBorder="1"/>
    <xf numFmtId="0" fontId="16" fillId="0" borderId="45" xfId="0" applyFont="1" applyBorder="1"/>
    <xf numFmtId="0" fontId="16" fillId="0" borderId="47" xfId="0" applyFont="1" applyBorder="1"/>
    <xf numFmtId="0" fontId="16" fillId="0" borderId="27" xfId="0" applyFont="1" applyFill="1" applyBorder="1"/>
    <xf numFmtId="165" fontId="16" fillId="0" borderId="33" xfId="4" applyFont="1" applyBorder="1"/>
    <xf numFmtId="165" fontId="16" fillId="0" borderId="34" xfId="4" applyFont="1" applyBorder="1"/>
    <xf numFmtId="165" fontId="16" fillId="0" borderId="49" xfId="4" applyFont="1" applyBorder="1"/>
    <xf numFmtId="165" fontId="16" fillId="0" borderId="13" xfId="4" applyFont="1" applyBorder="1"/>
    <xf numFmtId="165" fontId="16" fillId="0" borderId="50" xfId="4" applyFont="1" applyBorder="1"/>
    <xf numFmtId="165" fontId="16" fillId="0" borderId="37" xfId="4" applyFont="1" applyBorder="1"/>
    <xf numFmtId="165" fontId="16" fillId="0" borderId="38" xfId="4" applyFont="1" applyBorder="1"/>
    <xf numFmtId="165" fontId="16" fillId="0" borderId="39" xfId="4" applyFont="1" applyBorder="1"/>
    <xf numFmtId="165" fontId="16" fillId="0" borderId="17" xfId="4" applyFont="1" applyBorder="1"/>
    <xf numFmtId="165" fontId="16" fillId="0" borderId="32" xfId="4" applyFont="1" applyBorder="1"/>
    <xf numFmtId="165" fontId="16" fillId="0" borderId="40" xfId="4" applyFont="1" applyBorder="1"/>
    <xf numFmtId="165" fontId="16" fillId="0" borderId="19" xfId="4" applyFont="1" applyBorder="1"/>
    <xf numFmtId="165" fontId="16" fillId="0" borderId="25" xfId="4" applyFont="1" applyBorder="1"/>
    <xf numFmtId="165" fontId="16" fillId="0" borderId="52" xfId="4" applyFont="1" applyBorder="1"/>
    <xf numFmtId="165" fontId="16" fillId="0" borderId="53" xfId="4" applyFont="1" applyBorder="1"/>
    <xf numFmtId="165" fontId="1" fillId="0" borderId="27" xfId="4" applyFont="1" applyFill="1" applyBorder="1"/>
    <xf numFmtId="0" fontId="11" fillId="11" borderId="13" xfId="0" applyFont="1" applyFill="1" applyBorder="1"/>
    <xf numFmtId="9" fontId="11" fillId="0" borderId="0" xfId="5" applyFont="1"/>
    <xf numFmtId="0" fontId="11" fillId="11" borderId="15" xfId="0" applyFont="1" applyFill="1" applyBorder="1"/>
    <xf numFmtId="0" fontId="11" fillId="11" borderId="16" xfId="0" applyFont="1" applyFill="1" applyBorder="1"/>
    <xf numFmtId="0" fontId="11" fillId="0" borderId="16" xfId="0" applyFont="1" applyBorder="1"/>
    <xf numFmtId="0" fontId="11" fillId="0" borderId="0" xfId="0" applyFont="1" applyFill="1" applyBorder="1"/>
    <xf numFmtId="0" fontId="11" fillId="0" borderId="0" xfId="0" applyFont="1" applyBorder="1"/>
    <xf numFmtId="0" fontId="11" fillId="11" borderId="0" xfId="0" applyFont="1" applyFill="1" applyBorder="1"/>
    <xf numFmtId="0" fontId="19" fillId="10" borderId="55" xfId="0" applyFont="1" applyFill="1" applyBorder="1" applyAlignment="1">
      <alignment horizontal="center" vertical="center" wrapText="1"/>
    </xf>
    <xf numFmtId="0" fontId="19" fillId="10" borderId="49" xfId="0" applyFont="1" applyFill="1" applyBorder="1" applyAlignment="1">
      <alignment vertical="center" wrapText="1"/>
    </xf>
    <xf numFmtId="0" fontId="19" fillId="10" borderId="56" xfId="0" applyFont="1" applyFill="1" applyBorder="1" applyAlignment="1">
      <alignment vertical="center" wrapText="1"/>
    </xf>
    <xf numFmtId="0" fontId="19" fillId="10" borderId="45" xfId="0" applyFont="1" applyFill="1" applyBorder="1" applyAlignment="1">
      <alignment vertical="center" wrapText="1"/>
    </xf>
    <xf numFmtId="0" fontId="16" fillId="0" borderId="15" xfId="0" applyFont="1" applyBorder="1"/>
    <xf numFmtId="0" fontId="16" fillId="11" borderId="54" xfId="0" applyFont="1" applyFill="1" applyBorder="1"/>
    <xf numFmtId="170" fontId="16" fillId="0" borderId="15" xfId="0" applyNumberFormat="1" applyFont="1" applyBorder="1"/>
    <xf numFmtId="170" fontId="16" fillId="11" borderId="54" xfId="0" applyNumberFormat="1" applyFont="1" applyFill="1" applyBorder="1"/>
    <xf numFmtId="0" fontId="16" fillId="0" borderId="13" xfId="0" applyNumberFormat="1" applyFont="1" applyBorder="1"/>
    <xf numFmtId="0" fontId="16" fillId="0" borderId="15" xfId="0" applyNumberFormat="1" applyFont="1" applyBorder="1"/>
    <xf numFmtId="0" fontId="11" fillId="11" borderId="58" xfId="0" applyFont="1" applyFill="1" applyBorder="1"/>
    <xf numFmtId="0" fontId="11" fillId="0" borderId="58" xfId="0" applyFont="1" applyBorder="1"/>
    <xf numFmtId="0" fontId="11" fillId="5" borderId="58" xfId="0" applyFont="1" applyFill="1" applyBorder="1"/>
    <xf numFmtId="0" fontId="11" fillId="5" borderId="13" xfId="0" applyFont="1" applyFill="1" applyBorder="1"/>
    <xf numFmtId="0" fontId="11" fillId="5" borderId="15" xfId="0" applyFont="1" applyFill="1" applyBorder="1"/>
    <xf numFmtId="0" fontId="21" fillId="0" borderId="46" xfId="0" applyFont="1" applyFill="1" applyBorder="1"/>
    <xf numFmtId="0" fontId="21" fillId="0" borderId="13" xfId="0" applyFont="1" applyFill="1" applyBorder="1"/>
    <xf numFmtId="0" fontId="21" fillId="0" borderId="48" xfId="0" applyFont="1" applyFill="1" applyBorder="1"/>
    <xf numFmtId="165" fontId="16" fillId="0" borderId="0" xfId="0" applyNumberFormat="1" applyFont="1"/>
    <xf numFmtId="0" fontId="16" fillId="0" borderId="13" xfId="0" applyFont="1" applyBorder="1" applyAlignment="1">
      <alignment horizontal="center"/>
    </xf>
    <xf numFmtId="164" fontId="0" fillId="0" borderId="0" xfId="0" applyNumberFormat="1"/>
    <xf numFmtId="166" fontId="0" fillId="0" borderId="0" xfId="0" applyNumberFormat="1"/>
    <xf numFmtId="165" fontId="11" fillId="0" borderId="15" xfId="4" applyFont="1" applyBorder="1"/>
    <xf numFmtId="165" fontId="11" fillId="11" borderId="15" xfId="4" applyFont="1" applyFill="1" applyBorder="1"/>
    <xf numFmtId="165" fontId="19" fillId="10" borderId="55" xfId="4" applyFont="1" applyFill="1" applyBorder="1" applyAlignment="1">
      <alignment horizontal="center" vertical="center" wrapText="1"/>
    </xf>
    <xf numFmtId="165" fontId="20" fillId="10" borderId="55" xfId="4" applyFont="1" applyFill="1" applyBorder="1" applyAlignment="1">
      <alignment horizontal="center" vertical="center" wrapText="1"/>
    </xf>
    <xf numFmtId="0" fontId="15" fillId="0" borderId="0" xfId="0" applyFont="1" applyAlignment="1">
      <alignment horizontal="right"/>
    </xf>
    <xf numFmtId="4" fontId="15" fillId="0" borderId="13" xfId="0" applyNumberFormat="1" applyFont="1" applyBorder="1" applyAlignment="1">
      <alignment horizontal="right"/>
    </xf>
    <xf numFmtId="4" fontId="15" fillId="0" borderId="13" xfId="0" applyNumberFormat="1" applyFont="1" applyBorder="1" applyAlignment="1">
      <alignment horizontal="right" wrapText="1"/>
    </xf>
    <xf numFmtId="2" fontId="15" fillId="0" borderId="13" xfId="0" applyNumberFormat="1" applyFont="1" applyBorder="1" applyAlignment="1">
      <alignment horizontal="right"/>
    </xf>
    <xf numFmtId="0" fontId="17" fillId="12" borderId="15" xfId="0" applyFont="1" applyFill="1" applyBorder="1"/>
    <xf numFmtId="171" fontId="17" fillId="12" borderId="15" xfId="0" applyNumberFormat="1" applyFont="1" applyFill="1" applyBorder="1"/>
    <xf numFmtId="0" fontId="16" fillId="11" borderId="54" xfId="0" applyNumberFormat="1" applyFont="1" applyFill="1" applyBorder="1"/>
    <xf numFmtId="164" fontId="8" fillId="0" borderId="13" xfId="0" applyNumberFormat="1" applyFont="1" applyBorder="1" applyAlignment="1">
      <alignment horizontal="center" vertical="center" wrapText="1"/>
    </xf>
    <xf numFmtId="9" fontId="8" fillId="7" borderId="13" xfId="0" applyNumberFormat="1" applyFont="1" applyFill="1" applyBorder="1" applyAlignment="1">
      <alignment horizontal="center" vertical="center" wrapText="1"/>
    </xf>
    <xf numFmtId="1" fontId="8" fillId="7" borderId="13" xfId="0" applyNumberFormat="1" applyFont="1" applyFill="1" applyBorder="1" applyAlignment="1">
      <alignment horizontal="center" vertical="center" wrapText="1"/>
    </xf>
    <xf numFmtId="9" fontId="8" fillId="0" borderId="13" xfId="0" applyNumberFormat="1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164" fontId="8" fillId="0" borderId="16" xfId="0" applyNumberFormat="1" applyFont="1" applyBorder="1" applyAlignment="1">
      <alignment horizontal="right" vertical="center" wrapText="1"/>
    </xf>
    <xf numFmtId="0" fontId="8" fillId="7" borderId="15" xfId="0" applyFont="1" applyFill="1" applyBorder="1" applyAlignment="1">
      <alignment horizontal="center" vertical="center" wrapText="1"/>
    </xf>
    <xf numFmtId="0" fontId="8" fillId="7" borderId="66" xfId="0" applyFont="1" applyFill="1" applyBorder="1" applyAlignment="1">
      <alignment horizontal="center" vertical="center" wrapText="1"/>
    </xf>
    <xf numFmtId="9" fontId="8" fillId="7" borderId="37" xfId="0" applyNumberFormat="1" applyFont="1" applyFill="1" applyBorder="1" applyAlignment="1">
      <alignment horizontal="center" vertical="center" wrapText="1"/>
    </xf>
    <xf numFmtId="1" fontId="8" fillId="7" borderId="37" xfId="0" applyNumberFormat="1" applyFont="1" applyFill="1" applyBorder="1" applyAlignment="1">
      <alignment horizontal="center" vertical="center" wrapText="1"/>
    </xf>
    <xf numFmtId="164" fontId="8" fillId="0" borderId="37" xfId="0" applyNumberFormat="1" applyFont="1" applyBorder="1" applyAlignment="1">
      <alignment horizontal="center" vertical="center" wrapText="1"/>
    </xf>
    <xf numFmtId="164" fontId="8" fillId="0" borderId="67" xfId="0" applyNumberFormat="1" applyFont="1" applyBorder="1" applyAlignment="1">
      <alignment horizontal="right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64" xfId="0" applyFont="1" applyBorder="1" applyAlignment="1">
      <alignment horizontal="center" vertical="center" wrapText="1"/>
    </xf>
    <xf numFmtId="164" fontId="11" fillId="0" borderId="64" xfId="0" applyNumberFormat="1" applyFont="1" applyBorder="1"/>
    <xf numFmtId="164" fontId="11" fillId="0" borderId="22" xfId="0" applyNumberFormat="1" applyFont="1" applyBorder="1"/>
    <xf numFmtId="0" fontId="9" fillId="7" borderId="55" xfId="0" applyFont="1" applyFill="1" applyBorder="1" applyAlignment="1">
      <alignment horizontal="center" vertical="center" wrapText="1"/>
    </xf>
    <xf numFmtId="0" fontId="9" fillId="7" borderId="59" xfId="0" applyFont="1" applyFill="1" applyBorder="1" applyAlignment="1">
      <alignment horizontal="center" vertical="center" wrapText="1"/>
    </xf>
    <xf numFmtId="0" fontId="8" fillId="0" borderId="68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164" fontId="8" fillId="0" borderId="33" xfId="0" applyNumberFormat="1" applyFont="1" applyBorder="1" applyAlignment="1">
      <alignment horizontal="center" vertical="center" wrapText="1"/>
    </xf>
    <xf numFmtId="164" fontId="8" fillId="0" borderId="69" xfId="0" applyNumberFormat="1" applyFont="1" applyBorder="1" applyAlignment="1">
      <alignment horizontal="right" vertical="center" wrapText="1"/>
    </xf>
    <xf numFmtId="0" fontId="8" fillId="7" borderId="21" xfId="0" applyFont="1" applyFill="1" applyBorder="1" applyAlignment="1">
      <alignment horizontal="center" vertical="center" wrapText="1"/>
    </xf>
    <xf numFmtId="0" fontId="8" fillId="7" borderId="64" xfId="0" applyFont="1" applyFill="1" applyBorder="1" applyAlignment="1">
      <alignment horizontal="center" vertical="center" wrapText="1"/>
    </xf>
    <xf numFmtId="0" fontId="8" fillId="7" borderId="22" xfId="0" applyFont="1" applyFill="1" applyBorder="1" applyAlignment="1">
      <alignment horizontal="center" vertical="center" wrapText="1"/>
    </xf>
    <xf numFmtId="166" fontId="7" fillId="0" borderId="13" xfId="0" applyNumberFormat="1" applyFont="1" applyBorder="1" applyAlignment="1">
      <alignment horizontal="center" vertical="center" wrapText="1"/>
    </xf>
    <xf numFmtId="0" fontId="8" fillId="0" borderId="66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166" fontId="7" fillId="0" borderId="64" xfId="0" applyNumberFormat="1" applyFont="1" applyBorder="1" applyAlignment="1">
      <alignment horizontal="center" vertical="center" wrapText="1"/>
    </xf>
    <xf numFmtId="166" fontId="7" fillId="0" borderId="22" xfId="0" applyNumberFormat="1" applyFont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 wrapText="1"/>
    </xf>
    <xf numFmtId="166" fontId="7" fillId="0" borderId="53" xfId="0" applyNumberFormat="1" applyFont="1" applyBorder="1" applyAlignment="1">
      <alignment horizontal="center" vertical="center" wrapText="1"/>
    </xf>
    <xf numFmtId="166" fontId="7" fillId="0" borderId="70" xfId="0" applyNumberFormat="1" applyFont="1" applyBorder="1" applyAlignment="1">
      <alignment horizontal="center" vertical="center" wrapText="1"/>
    </xf>
    <xf numFmtId="0" fontId="7" fillId="7" borderId="64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164" fontId="7" fillId="0" borderId="33" xfId="0" applyNumberFormat="1" applyFont="1" applyBorder="1" applyAlignment="1">
      <alignment horizontal="center" vertical="center" wrapText="1"/>
    </xf>
    <xf numFmtId="164" fontId="7" fillId="0" borderId="69" xfId="0" applyNumberFormat="1" applyFont="1" applyBorder="1" applyAlignment="1">
      <alignment horizontal="center" vertical="center" wrapText="1"/>
    </xf>
    <xf numFmtId="164" fontId="7" fillId="0" borderId="13" xfId="0" applyNumberFormat="1" applyFont="1" applyBorder="1" applyAlignment="1">
      <alignment horizontal="center" vertical="center" wrapText="1"/>
    </xf>
    <xf numFmtId="164" fontId="7" fillId="0" borderId="16" xfId="0" applyNumberFormat="1" applyFont="1" applyBorder="1" applyAlignment="1">
      <alignment horizontal="center" vertical="center" wrapText="1"/>
    </xf>
    <xf numFmtId="166" fontId="7" fillId="0" borderId="37" xfId="0" applyNumberFormat="1" applyFont="1" applyBorder="1" applyAlignment="1">
      <alignment horizontal="center" vertical="center" wrapText="1"/>
    </xf>
    <xf numFmtId="166" fontId="7" fillId="0" borderId="67" xfId="0" applyNumberFormat="1" applyFont="1" applyBorder="1" applyAlignment="1">
      <alignment horizontal="center" vertical="center" wrapText="1"/>
    </xf>
    <xf numFmtId="164" fontId="7" fillId="0" borderId="37" xfId="0" applyNumberFormat="1" applyFont="1" applyBorder="1" applyAlignment="1">
      <alignment horizontal="center" vertical="center" wrapText="1"/>
    </xf>
    <xf numFmtId="164" fontId="7" fillId="0" borderId="67" xfId="0" applyNumberFormat="1" applyFont="1" applyBorder="1" applyAlignment="1">
      <alignment horizontal="center" vertical="center" wrapText="1"/>
    </xf>
    <xf numFmtId="0" fontId="9" fillId="0" borderId="15" xfId="0" applyFont="1" applyBorder="1" applyAlignment="1">
      <alignment horizontal="left" vertical="center" wrapText="1"/>
    </xf>
    <xf numFmtId="166" fontId="8" fillId="0" borderId="63" xfId="0" applyNumberFormat="1" applyFont="1" applyBorder="1" applyAlignment="1">
      <alignment horizontal="center" vertical="center" wrapText="1"/>
    </xf>
    <xf numFmtId="166" fontId="8" fillId="0" borderId="16" xfId="0" applyNumberFormat="1" applyFont="1" applyBorder="1" applyAlignment="1">
      <alignment horizontal="center" vertical="center" wrapText="1"/>
    </xf>
    <xf numFmtId="0" fontId="9" fillId="0" borderId="60" xfId="0" applyFont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7" fillId="7" borderId="28" xfId="0" applyFont="1" applyFill="1" applyBorder="1" applyAlignment="1">
      <alignment horizontal="center" vertical="center" wrapText="1"/>
    </xf>
    <xf numFmtId="0" fontId="7" fillId="0" borderId="68" xfId="0" applyFont="1" applyBorder="1" applyAlignment="1">
      <alignment horizontal="left" vertical="center" wrapText="1"/>
    </xf>
    <xf numFmtId="164" fontId="7" fillId="0" borderId="33" xfId="0" applyNumberFormat="1" applyFont="1" applyBorder="1" applyAlignment="1">
      <alignment horizontal="right" vertical="center" wrapText="1"/>
    </xf>
    <xf numFmtId="164" fontId="7" fillId="0" borderId="69" xfId="0" applyNumberFormat="1" applyFont="1" applyBorder="1" applyAlignment="1">
      <alignment horizontal="right" vertical="center" wrapText="1"/>
    </xf>
    <xf numFmtId="0" fontId="7" fillId="0" borderId="15" xfId="0" applyFont="1" applyBorder="1" applyAlignment="1">
      <alignment horizontal="left" vertical="center" wrapText="1"/>
    </xf>
    <xf numFmtId="164" fontId="7" fillId="0" borderId="13" xfId="0" applyNumberFormat="1" applyFont="1" applyBorder="1" applyAlignment="1">
      <alignment horizontal="right" vertical="center" wrapText="1"/>
    </xf>
    <xf numFmtId="164" fontId="7" fillId="0" borderId="16" xfId="0" applyNumberFormat="1" applyFont="1" applyBorder="1" applyAlignment="1">
      <alignment horizontal="right" vertical="center" wrapText="1"/>
    </xf>
    <xf numFmtId="166" fontId="7" fillId="0" borderId="13" xfId="0" applyNumberFormat="1" applyFont="1" applyBorder="1" applyAlignment="1">
      <alignment horizontal="right" vertical="center" wrapText="1"/>
    </xf>
    <xf numFmtId="0" fontId="7" fillId="0" borderId="66" xfId="0" applyFont="1" applyBorder="1" applyAlignment="1">
      <alignment horizontal="left" vertical="center"/>
    </xf>
    <xf numFmtId="166" fontId="7" fillId="0" borderId="37" xfId="0" applyNumberFormat="1" applyFont="1" applyBorder="1" applyAlignment="1">
      <alignment horizontal="right" vertical="center" wrapText="1"/>
    </xf>
    <xf numFmtId="164" fontId="7" fillId="0" borderId="37" xfId="0" applyNumberFormat="1" applyFont="1" applyBorder="1" applyAlignment="1">
      <alignment horizontal="right" vertical="center" wrapText="1"/>
    </xf>
    <xf numFmtId="164" fontId="7" fillId="0" borderId="67" xfId="0" applyNumberFormat="1" applyFont="1" applyBorder="1" applyAlignment="1">
      <alignment horizontal="right" vertical="center" wrapText="1"/>
    </xf>
    <xf numFmtId="0" fontId="7" fillId="0" borderId="28" xfId="0" applyFont="1" applyBorder="1" applyAlignment="1">
      <alignment horizontal="left" vertical="center" wrapText="1"/>
    </xf>
    <xf numFmtId="166" fontId="7" fillId="0" borderId="64" xfId="0" applyNumberFormat="1" applyFont="1" applyFill="1" applyBorder="1" applyAlignment="1">
      <alignment horizontal="right" vertical="center" wrapText="1"/>
    </xf>
    <xf numFmtId="166" fontId="7" fillId="0" borderId="64" xfId="0" applyNumberFormat="1" applyFont="1" applyBorder="1" applyAlignment="1">
      <alignment horizontal="right" vertical="center" wrapText="1"/>
    </xf>
    <xf numFmtId="166" fontId="7" fillId="0" borderId="22" xfId="0" applyNumberFormat="1" applyFont="1" applyBorder="1" applyAlignment="1">
      <alignment horizontal="right" vertical="center" wrapText="1"/>
    </xf>
    <xf numFmtId="0" fontId="7" fillId="7" borderId="21" xfId="0" applyFont="1" applyFill="1" applyBorder="1" applyAlignment="1">
      <alignment horizontal="center" vertical="center" wrapText="1"/>
    </xf>
    <xf numFmtId="164" fontId="7" fillId="0" borderId="33" xfId="0" applyNumberFormat="1" applyFont="1" applyBorder="1" applyAlignment="1">
      <alignment vertical="center" wrapText="1"/>
    </xf>
    <xf numFmtId="166" fontId="7" fillId="0" borderId="33" xfId="0" applyNumberFormat="1" applyFont="1" applyBorder="1" applyAlignment="1">
      <alignment horizontal="right" vertical="center" wrapText="1"/>
    </xf>
    <xf numFmtId="166" fontId="7" fillId="0" borderId="69" xfId="0" applyNumberFormat="1" applyFont="1" applyBorder="1" applyAlignment="1">
      <alignment horizontal="right" vertical="center" wrapText="1"/>
    </xf>
    <xf numFmtId="0" fontId="7" fillId="0" borderId="15" xfId="0" applyFont="1" applyFill="1" applyBorder="1" applyAlignment="1">
      <alignment horizontal="left" vertical="center" wrapText="1"/>
    </xf>
    <xf numFmtId="164" fontId="7" fillId="0" borderId="13" xfId="0" applyNumberFormat="1" applyFont="1" applyBorder="1" applyAlignment="1">
      <alignment vertical="center" wrapText="1"/>
    </xf>
    <xf numFmtId="166" fontId="7" fillId="0" borderId="16" xfId="0" applyNumberFormat="1" applyFont="1" applyBorder="1" applyAlignment="1">
      <alignment horizontal="right" vertical="center" wrapText="1"/>
    </xf>
    <xf numFmtId="166" fontId="7" fillId="0" borderId="13" xfId="0" applyNumberFormat="1" applyFont="1" applyBorder="1" applyAlignment="1">
      <alignment vertical="center" wrapText="1"/>
    </xf>
    <xf numFmtId="0" fontId="7" fillId="0" borderId="19" xfId="0" applyFont="1" applyBorder="1" applyAlignment="1">
      <alignment horizontal="left" vertical="center" wrapText="1"/>
    </xf>
    <xf numFmtId="166" fontId="7" fillId="0" borderId="61" xfId="0" applyNumberFormat="1" applyFont="1" applyBorder="1" applyAlignment="1">
      <alignment vertical="center" wrapText="1"/>
    </xf>
    <xf numFmtId="166" fontId="7" fillId="0" borderId="61" xfId="0" applyNumberFormat="1" applyFont="1" applyBorder="1" applyAlignment="1">
      <alignment horizontal="right" vertical="center" wrapText="1"/>
    </xf>
    <xf numFmtId="166" fontId="7" fillId="0" borderId="63" xfId="0" applyNumberFormat="1" applyFont="1" applyBorder="1" applyAlignment="1">
      <alignment horizontal="right" vertical="center" wrapText="1"/>
    </xf>
    <xf numFmtId="165" fontId="11" fillId="0" borderId="13" xfId="4" applyFont="1" applyBorder="1" applyAlignment="1">
      <alignment horizontal="right"/>
    </xf>
    <xf numFmtId="165" fontId="11" fillId="0" borderId="16" xfId="4" applyFont="1" applyBorder="1" applyAlignment="1">
      <alignment horizontal="right"/>
    </xf>
    <xf numFmtId="165" fontId="11" fillId="0" borderId="67" xfId="4" applyFont="1" applyBorder="1" applyAlignment="1">
      <alignment horizontal="right"/>
    </xf>
    <xf numFmtId="0" fontId="11" fillId="0" borderId="68" xfId="0" applyFont="1" applyBorder="1"/>
    <xf numFmtId="0" fontId="11" fillId="0" borderId="33" xfId="0" applyFont="1" applyBorder="1"/>
    <xf numFmtId="165" fontId="11" fillId="0" borderId="33" xfId="4" applyFont="1" applyBorder="1" applyAlignment="1">
      <alignment horizontal="right"/>
    </xf>
    <xf numFmtId="165" fontId="11" fillId="0" borderId="69" xfId="4" applyFont="1" applyBorder="1" applyAlignment="1">
      <alignment horizontal="right"/>
    </xf>
    <xf numFmtId="0" fontId="11" fillId="0" borderId="21" xfId="0" applyFont="1" applyBorder="1" applyAlignment="1">
      <alignment horizontal="center" vertical="center" wrapText="1"/>
    </xf>
    <xf numFmtId="0" fontId="11" fillId="0" borderId="64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19" xfId="0" applyFont="1" applyBorder="1"/>
    <xf numFmtId="0" fontId="11" fillId="0" borderId="62" xfId="0" applyFont="1" applyBorder="1"/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wrapText="1"/>
    </xf>
    <xf numFmtId="165" fontId="11" fillId="0" borderId="14" xfId="4" applyFont="1" applyFill="1" applyBorder="1"/>
    <xf numFmtId="165" fontId="16" fillId="0" borderId="13" xfId="4" applyFont="1" applyBorder="1" applyAlignment="1">
      <alignment horizontal="right"/>
    </xf>
    <xf numFmtId="165" fontId="16" fillId="0" borderId="16" xfId="4" applyFont="1" applyBorder="1" applyAlignment="1">
      <alignment horizontal="right"/>
    </xf>
    <xf numFmtId="0" fontId="16" fillId="0" borderId="15" xfId="0" applyFont="1" applyFill="1" applyBorder="1"/>
    <xf numFmtId="165" fontId="16" fillId="0" borderId="13" xfId="4" applyFont="1" applyFill="1" applyBorder="1" applyAlignment="1">
      <alignment horizontal="right"/>
    </xf>
    <xf numFmtId="0" fontId="16" fillId="0" borderId="66" xfId="0" applyFont="1" applyFill="1" applyBorder="1"/>
    <xf numFmtId="0" fontId="16" fillId="0" borderId="37" xfId="0" applyFont="1" applyFill="1" applyBorder="1"/>
    <xf numFmtId="165" fontId="16" fillId="0" borderId="37" xfId="4" applyFont="1" applyFill="1" applyBorder="1" applyAlignment="1">
      <alignment horizontal="right"/>
    </xf>
    <xf numFmtId="165" fontId="16" fillId="0" borderId="67" xfId="4" applyFont="1" applyBorder="1" applyAlignment="1">
      <alignment horizontal="right"/>
    </xf>
    <xf numFmtId="0" fontId="16" fillId="0" borderId="28" xfId="0" applyFont="1" applyFill="1" applyBorder="1"/>
    <xf numFmtId="0" fontId="16" fillId="0" borderId="29" xfId="0" applyFont="1" applyFill="1" applyBorder="1"/>
    <xf numFmtId="0" fontId="16" fillId="0" borderId="29" xfId="0" applyFont="1" applyBorder="1"/>
    <xf numFmtId="165" fontId="16" fillId="0" borderId="41" xfId="4" applyFont="1" applyFill="1" applyBorder="1"/>
    <xf numFmtId="0" fontId="18" fillId="10" borderId="59" xfId="0" applyFont="1" applyFill="1" applyBorder="1" applyAlignment="1">
      <alignment horizontal="center" vertical="center" wrapText="1"/>
    </xf>
    <xf numFmtId="0" fontId="16" fillId="11" borderId="15" xfId="0" applyFont="1" applyFill="1" applyBorder="1"/>
    <xf numFmtId="0" fontId="16" fillId="0" borderId="13" xfId="0" applyFont="1" applyFill="1" applyBorder="1" applyAlignment="1">
      <alignment horizontal="center"/>
    </xf>
    <xf numFmtId="0" fontId="16" fillId="0" borderId="37" xfId="0" applyFont="1" applyBorder="1" applyAlignment="1">
      <alignment horizontal="center"/>
    </xf>
    <xf numFmtId="0" fontId="16" fillId="0" borderId="33" xfId="0" applyFont="1" applyBorder="1" applyAlignment="1">
      <alignment horizontal="center"/>
    </xf>
    <xf numFmtId="165" fontId="16" fillId="0" borderId="33" xfId="4" applyFont="1" applyBorder="1" applyAlignment="1">
      <alignment horizontal="right"/>
    </xf>
    <xf numFmtId="165" fontId="16" fillId="0" borderId="69" xfId="4" applyFont="1" applyBorder="1" applyAlignment="1">
      <alignment horizontal="right"/>
    </xf>
    <xf numFmtId="0" fontId="16" fillId="0" borderId="21" xfId="0" applyFont="1" applyBorder="1" applyAlignment="1">
      <alignment horizontal="center" vertical="center" wrapText="1"/>
    </xf>
    <xf numFmtId="0" fontId="16" fillId="0" borderId="64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left"/>
    </xf>
    <xf numFmtId="0" fontId="16" fillId="0" borderId="68" xfId="0" applyFont="1" applyBorder="1" applyAlignment="1">
      <alignment horizontal="left"/>
    </xf>
    <xf numFmtId="165" fontId="16" fillId="11" borderId="16" xfId="4" applyFont="1" applyFill="1" applyBorder="1"/>
    <xf numFmtId="165" fontId="16" fillId="0" borderId="16" xfId="4" applyFont="1" applyBorder="1"/>
    <xf numFmtId="0" fontId="16" fillId="0" borderId="66" xfId="0" applyFont="1" applyBorder="1"/>
    <xf numFmtId="165" fontId="16" fillId="0" borderId="67" xfId="4" applyFont="1" applyBorder="1"/>
    <xf numFmtId="0" fontId="16" fillId="11" borderId="21" xfId="0" applyFont="1" applyFill="1" applyBorder="1"/>
    <xf numFmtId="165" fontId="16" fillId="11" borderId="22" xfId="4" applyFont="1" applyFill="1" applyBorder="1"/>
    <xf numFmtId="4" fontId="15" fillId="12" borderId="13" xfId="0" applyNumberFormat="1" applyFont="1" applyFill="1" applyBorder="1" applyAlignment="1">
      <alignment horizontal="right" wrapText="1"/>
    </xf>
    <xf numFmtId="2" fontId="15" fillId="12" borderId="13" xfId="0" applyNumberFormat="1" applyFont="1" applyFill="1" applyBorder="1" applyAlignment="1">
      <alignment horizontal="right"/>
    </xf>
    <xf numFmtId="0" fontId="4" fillId="12" borderId="13" xfId="0" applyFont="1" applyFill="1" applyBorder="1" applyAlignment="1">
      <alignment horizontal="right"/>
    </xf>
    <xf numFmtId="4" fontId="4" fillId="12" borderId="13" xfId="0" applyNumberFormat="1" applyFont="1" applyFill="1" applyBorder="1" applyAlignment="1">
      <alignment horizontal="right"/>
    </xf>
    <xf numFmtId="0" fontId="4" fillId="0" borderId="13" xfId="0" applyFont="1" applyBorder="1" applyAlignment="1">
      <alignment horizontal="right"/>
    </xf>
    <xf numFmtId="4" fontId="4" fillId="0" borderId="13" xfId="0" applyNumberFormat="1" applyFont="1" applyBorder="1" applyAlignment="1">
      <alignment horizontal="right"/>
    </xf>
    <xf numFmtId="4" fontId="4" fillId="0" borderId="13" xfId="0" applyNumberFormat="1" applyFont="1" applyBorder="1" applyAlignment="1">
      <alignment horizontal="right" wrapText="1"/>
    </xf>
    <xf numFmtId="4" fontId="4" fillId="12" borderId="13" xfId="0" applyNumberFormat="1" applyFont="1" applyFill="1" applyBorder="1" applyAlignment="1">
      <alignment horizontal="right" wrapText="1"/>
    </xf>
    <xf numFmtId="0" fontId="24" fillId="0" borderId="13" xfId="0" applyFont="1" applyFill="1" applyBorder="1"/>
    <xf numFmtId="4" fontId="4" fillId="0" borderId="13" xfId="0" applyNumberFormat="1" applyFont="1" applyFill="1" applyBorder="1" applyAlignment="1">
      <alignment horizontal="right"/>
    </xf>
    <xf numFmtId="4" fontId="4" fillId="0" borderId="13" xfId="0" applyNumberFormat="1" applyFont="1" applyFill="1" applyBorder="1" applyAlignment="1">
      <alignment horizontal="right" wrapText="1"/>
    </xf>
    <xf numFmtId="4" fontId="15" fillId="12" borderId="46" xfId="0" applyNumberFormat="1" applyFont="1" applyFill="1" applyBorder="1" applyAlignment="1">
      <alignment horizontal="right" wrapText="1"/>
    </xf>
    <xf numFmtId="0" fontId="14" fillId="0" borderId="15" xfId="0" applyFont="1" applyBorder="1"/>
    <xf numFmtId="4" fontId="4" fillId="0" borderId="16" xfId="0" applyNumberFormat="1" applyFont="1" applyBorder="1" applyAlignment="1">
      <alignment horizontal="right"/>
    </xf>
    <xf numFmtId="0" fontId="4" fillId="12" borderId="16" xfId="0" applyFont="1" applyFill="1" applyBorder="1" applyAlignment="1">
      <alignment horizontal="right"/>
    </xf>
    <xf numFmtId="0" fontId="15" fillId="0" borderId="15" xfId="0" applyFont="1" applyBorder="1"/>
    <xf numFmtId="2" fontId="4" fillId="0" borderId="16" xfId="0" applyNumberFormat="1" applyFont="1" applyBorder="1" applyAlignment="1">
      <alignment horizontal="right"/>
    </xf>
    <xf numFmtId="2" fontId="4" fillId="12" borderId="16" xfId="0" applyNumberFormat="1" applyFont="1" applyFill="1" applyBorder="1" applyAlignment="1">
      <alignment horizontal="right"/>
    </xf>
    <xf numFmtId="0" fontId="4" fillId="0" borderId="16" xfId="0" applyFont="1" applyBorder="1" applyAlignment="1">
      <alignment horizontal="right"/>
    </xf>
    <xf numFmtId="0" fontId="23" fillId="0" borderId="16" xfId="0" applyFont="1" applyBorder="1" applyAlignment="1">
      <alignment horizontal="right"/>
    </xf>
    <xf numFmtId="4" fontId="23" fillId="0" borderId="16" xfId="0" applyNumberFormat="1" applyFont="1" applyBorder="1" applyAlignment="1">
      <alignment horizontal="right"/>
    </xf>
    <xf numFmtId="4" fontId="4" fillId="0" borderId="16" xfId="0" applyNumberFormat="1" applyFont="1" applyFill="1" applyBorder="1" applyAlignment="1">
      <alignment horizontal="right" wrapText="1"/>
    </xf>
    <xf numFmtId="165" fontId="25" fillId="0" borderId="61" xfId="4" applyFont="1" applyBorder="1" applyAlignment="1">
      <alignment horizontal="right"/>
    </xf>
    <xf numFmtId="165" fontId="14" fillId="5" borderId="61" xfId="4" applyFont="1" applyFill="1" applyBorder="1" applyAlignment="1">
      <alignment horizontal="right"/>
    </xf>
    <xf numFmtId="165" fontId="14" fillId="5" borderId="63" xfId="4" applyFont="1" applyFill="1" applyBorder="1" applyAlignment="1">
      <alignment horizontal="right"/>
    </xf>
    <xf numFmtId="0" fontId="4" fillId="0" borderId="15" xfId="0" applyFont="1" applyBorder="1"/>
    <xf numFmtId="0" fontId="24" fillId="0" borderId="15" xfId="0" applyFont="1" applyBorder="1"/>
    <xf numFmtId="0" fontId="24" fillId="12" borderId="15" xfId="0" applyFont="1" applyFill="1" applyBorder="1"/>
    <xf numFmtId="0" fontId="26" fillId="0" borderId="15" xfId="0" quotePrefix="1" applyFont="1" applyBorder="1"/>
    <xf numFmtId="0" fontId="24" fillId="0" borderId="60" xfId="0" applyFont="1" applyBorder="1"/>
    <xf numFmtId="0" fontId="14" fillId="12" borderId="68" xfId="0" applyFont="1" applyFill="1" applyBorder="1"/>
    <xf numFmtId="0" fontId="4" fillId="12" borderId="33" xfId="0" applyFont="1" applyFill="1" applyBorder="1" applyAlignment="1">
      <alignment horizontal="right"/>
    </xf>
    <xf numFmtId="4" fontId="24" fillId="12" borderId="33" xfId="0" applyNumberFormat="1" applyFont="1" applyFill="1" applyBorder="1" applyAlignment="1">
      <alignment horizontal="right"/>
    </xf>
    <xf numFmtId="4" fontId="24" fillId="12" borderId="69" xfId="0" applyNumberFormat="1" applyFont="1" applyFill="1" applyBorder="1" applyAlignment="1">
      <alignment horizontal="right"/>
    </xf>
    <xf numFmtId="0" fontId="14" fillId="0" borderId="21" xfId="0" applyFont="1" applyBorder="1" applyAlignment="1">
      <alignment horizontal="right"/>
    </xf>
    <xf numFmtId="0" fontId="14" fillId="0" borderId="64" xfId="0" applyFont="1" applyBorder="1" applyAlignment="1">
      <alignment horizontal="right"/>
    </xf>
    <xf numFmtId="0" fontId="14" fillId="0" borderId="22" xfId="0" applyFont="1" applyBorder="1" applyAlignment="1">
      <alignment horizontal="right"/>
    </xf>
    <xf numFmtId="0" fontId="11" fillId="12" borderId="13" xfId="0" applyFont="1" applyFill="1" applyBorder="1"/>
    <xf numFmtId="9" fontId="11" fillId="12" borderId="13" xfId="0" applyNumberFormat="1" applyFont="1" applyFill="1" applyBorder="1" applyAlignment="1">
      <alignment horizontal="right"/>
    </xf>
    <xf numFmtId="164" fontId="11" fillId="0" borderId="13" xfId="0" applyNumberFormat="1" applyFont="1" applyBorder="1" applyAlignment="1">
      <alignment horizontal="right"/>
    </xf>
    <xf numFmtId="0" fontId="11" fillId="0" borderId="13" xfId="0" applyFont="1" applyBorder="1" applyAlignment="1">
      <alignment horizontal="right"/>
    </xf>
    <xf numFmtId="0" fontId="7" fillId="6" borderId="28" xfId="0" applyFont="1" applyFill="1" applyBorder="1" applyAlignment="1">
      <alignment vertical="center"/>
    </xf>
    <xf numFmtId="0" fontId="7" fillId="6" borderId="29" xfId="0" applyFont="1" applyFill="1" applyBorder="1" applyAlignment="1">
      <alignment vertical="center"/>
    </xf>
    <xf numFmtId="0" fontId="7" fillId="6" borderId="41" xfId="0" applyFont="1" applyFill="1" applyBorder="1" applyAlignment="1">
      <alignment vertical="center"/>
    </xf>
    <xf numFmtId="0" fontId="7" fillId="0" borderId="0" xfId="0" applyFont="1" applyBorder="1" applyAlignment="1">
      <alignment horizontal="left" vertical="center" wrapText="1"/>
    </xf>
    <xf numFmtId="166" fontId="7" fillId="0" borderId="0" xfId="0" applyNumberFormat="1" applyFont="1" applyFill="1" applyBorder="1" applyAlignment="1">
      <alignment horizontal="right" vertical="center" wrapText="1"/>
    </xf>
    <xf numFmtId="166" fontId="7" fillId="0" borderId="0" xfId="0" applyNumberFormat="1" applyFont="1" applyBorder="1" applyAlignment="1">
      <alignment horizontal="right" vertical="center" wrapText="1"/>
    </xf>
    <xf numFmtId="165" fontId="27" fillId="10" borderId="55" xfId="4" applyFont="1" applyFill="1" applyBorder="1" applyAlignment="1">
      <alignment horizontal="center" vertical="center" wrapText="1"/>
    </xf>
    <xf numFmtId="165" fontId="16" fillId="11" borderId="15" xfId="4" applyFont="1" applyFill="1" applyBorder="1"/>
    <xf numFmtId="0" fontId="16" fillId="11" borderId="60" xfId="0" applyFont="1" applyFill="1" applyBorder="1"/>
    <xf numFmtId="165" fontId="16" fillId="11" borderId="63" xfId="4" applyFont="1" applyFill="1" applyBorder="1"/>
    <xf numFmtId="0" fontId="18" fillId="10" borderId="55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center" vertical="center"/>
    </xf>
    <xf numFmtId="0" fontId="4" fillId="4" borderId="26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18" fillId="10" borderId="49" xfId="0" applyFont="1" applyFill="1" applyBorder="1" applyAlignment="1">
      <alignment horizontal="left" vertical="center" wrapText="1"/>
    </xf>
    <xf numFmtId="0" fontId="18" fillId="10" borderId="45" xfId="0" applyFont="1" applyFill="1" applyBorder="1" applyAlignment="1">
      <alignment horizontal="left" vertical="center" wrapText="1"/>
    </xf>
    <xf numFmtId="0" fontId="7" fillId="6" borderId="28" xfId="0" applyFont="1" applyFill="1" applyBorder="1" applyAlignment="1">
      <alignment horizontal="center" vertical="center" wrapText="1"/>
    </xf>
    <xf numFmtId="0" fontId="7" fillId="6" borderId="29" xfId="0" applyFont="1" applyFill="1" applyBorder="1" applyAlignment="1">
      <alignment horizontal="center" vertical="center" wrapText="1"/>
    </xf>
    <xf numFmtId="0" fontId="7" fillId="6" borderId="30" xfId="0" applyFont="1" applyFill="1" applyBorder="1" applyAlignment="1">
      <alignment horizontal="center" vertical="center" wrapText="1"/>
    </xf>
    <xf numFmtId="0" fontId="7" fillId="6" borderId="41" xfId="0" applyFont="1" applyFill="1" applyBorder="1" applyAlignment="1">
      <alignment horizontal="center" vertical="center" wrapText="1"/>
    </xf>
    <xf numFmtId="0" fontId="16" fillId="0" borderId="13" xfId="0" applyFont="1" applyBorder="1" applyAlignment="1">
      <alignment horizontal="center"/>
    </xf>
    <xf numFmtId="0" fontId="22" fillId="10" borderId="28" xfId="0" applyFont="1" applyFill="1" applyBorder="1" applyAlignment="1">
      <alignment horizontal="center" wrapText="1"/>
    </xf>
    <xf numFmtId="0" fontId="22" fillId="10" borderId="57" xfId="0" applyFont="1" applyFill="1" applyBorder="1" applyAlignment="1">
      <alignment horizontal="center" wrapText="1"/>
    </xf>
    <xf numFmtId="0" fontId="16" fillId="0" borderId="13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wrapText="1"/>
    </xf>
    <xf numFmtId="0" fontId="12" fillId="6" borderId="25" xfId="0" applyFont="1" applyFill="1" applyBorder="1" applyAlignment="1">
      <alignment horizontal="center" vertical="center" wrapText="1"/>
    </xf>
    <xf numFmtId="0" fontId="12" fillId="6" borderId="27" xfId="0" applyFont="1" applyFill="1" applyBorder="1" applyAlignment="1">
      <alignment horizontal="center" vertical="center" wrapText="1"/>
    </xf>
    <xf numFmtId="0" fontId="12" fillId="6" borderId="65" xfId="0" applyFont="1" applyFill="1" applyBorder="1" applyAlignment="1">
      <alignment horizontal="center" vertical="center" wrapText="1"/>
    </xf>
    <xf numFmtId="0" fontId="7" fillId="6" borderId="28" xfId="0" applyFont="1" applyFill="1" applyBorder="1" applyAlignment="1">
      <alignment horizontal="center" vertical="center"/>
    </xf>
    <xf numFmtId="0" fontId="7" fillId="6" borderId="29" xfId="0" applyFont="1" applyFill="1" applyBorder="1" applyAlignment="1">
      <alignment horizontal="center" vertical="center"/>
    </xf>
    <xf numFmtId="0" fontId="7" fillId="6" borderId="41" xfId="0" applyFont="1" applyFill="1" applyBorder="1" applyAlignment="1">
      <alignment horizontal="center" vertical="center"/>
    </xf>
  </cellXfs>
  <cellStyles count="6">
    <cellStyle name="Moneda" xfId="4" builtinId="4"/>
    <cellStyle name="Normal" xfId="0" builtinId="0"/>
    <cellStyle name="Normal 2" xfId="1"/>
    <cellStyle name="Normal 2 2" xfId="2"/>
    <cellStyle name="Porcentaje" xfId="5" builtinId="5"/>
    <cellStyle name="Porcentaje 2" xfId="3"/>
  </cellStyles>
  <dxfs count="53"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border diagonalUp="0" diagonalDown="0" outline="0">
        <left style="thin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border diagonalUp="0" diagonalDown="0" outline="0">
        <left/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border outline="0"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border diagonalUp="0" diagonalDown="0" outline="0">
        <left style="thin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border diagonalUp="0" diagonalDown="0" outline="0">
        <left/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border outline="0"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medium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  <border diagonalUp="0" diagonalDown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3" name="Tabla3" displayName="Tabla3" ref="B30:H35" totalsRowShown="0" headerRowDxfId="52" dataDxfId="51">
  <tableColumns count="7">
    <tableColumn id="1" name="EQUIPO Y MAQUINARIA" dataDxfId="50"/>
    <tableColumn id="2" name="CANTIDAD" dataDxfId="49"/>
    <tableColumn id="3" name="COSTO UNITARIO" dataDxfId="48" dataCellStyle="Moneda"/>
    <tableColumn id="4" name="COSTO TOTAL" dataDxfId="47" dataCellStyle="Moneda">
      <calculatedColumnFormula>D31*C31</calculatedColumnFormula>
    </tableColumn>
    <tableColumn id="5" name="TIEMPO VIDA UTIL" dataDxfId="46"/>
    <tableColumn id="6" name="VALOR RESIDUAL CONTABLE" dataDxfId="45"/>
    <tableColumn id="7" name="VALOR RESIDUAL MERCADO" dataDxfId="4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a4" displayName="Tabla4" ref="B40:I50" totalsRowCount="1" headerRowDxfId="43" dataDxfId="41" totalsRowDxfId="39" headerRowBorderDxfId="42" tableBorderDxfId="40" totalsRowBorderDxfId="38">
  <tableColumns count="8">
    <tableColumn id="1" name="EQUIPO/MUEBLE" totalsRowLabel="TOTAL" dataDxfId="37" totalsRowDxfId="36"/>
    <tableColumn id="2" name="AREA" dataDxfId="35" totalsRowDxfId="34"/>
    <tableColumn id="3" name="CANTIDAD" dataDxfId="33" totalsRowDxfId="32"/>
    <tableColumn id="4" name="VALOR UNITARIO" dataDxfId="31" totalsRowDxfId="30" dataCellStyle="Moneda"/>
    <tableColumn id="5" name="VALOR TOTAL" totalsRowFunction="custom" dataDxfId="29" totalsRowDxfId="28" dataCellStyle="Moneda">
      <calculatedColumnFormula>E41*D41</calculatedColumnFormula>
      <totalsRowFormula>SUM(Tabla4[VALOR TOTAL])</totalsRowFormula>
    </tableColumn>
    <tableColumn id="6" name="TIEMPO VIDA UTIL" dataDxfId="27" totalsRowDxfId="26"/>
    <tableColumn id="7" name="VALOR RESIDUAL CONTABLE" dataDxfId="25" totalsRowDxfId="24"/>
    <tableColumn id="8" name="VALOR RESIDUAL MERCADO" dataDxfId="23" totalsRowDxfId="2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8" name="Tabla8" displayName="Tabla8" ref="B18:H26" totalsRowShown="0" headerRowDxfId="21" dataDxfId="19" headerRowBorderDxfId="20" tableBorderDxfId="18">
  <tableColumns count="7">
    <tableColumn id="1" name="SALARIOS" dataDxfId="17"/>
    <tableColumn id="2" name="SUELDO MENSUAL" dataDxfId="16" dataCellStyle="Moneda"/>
    <tableColumn id="3" name="ANUAL" dataDxfId="15" dataCellStyle="Moneda"/>
    <tableColumn id="4" name="GRATIFICACION" dataDxfId="14" dataCellStyle="Moneda"/>
    <tableColumn id="5" name="ESSALUD" dataDxfId="13" dataCellStyle="Moneda"/>
    <tableColumn id="6" name="SENATI" dataDxfId="12" dataCellStyle="Moneda"/>
    <tableColumn id="7" name="TOTAL ANUAL" dataDxfId="11" dataCellStyle="Moneda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2" name="Tabla83" displayName="Tabla83" ref="B5:H14" totalsRowShown="0" headerRowDxfId="10" dataDxfId="8" headerRowBorderDxfId="9" tableBorderDxfId="7">
  <tableColumns count="7">
    <tableColumn id="1" name="SALARIOS" dataDxfId="6"/>
    <tableColumn id="2" name="SUELDO MENSUAL" dataDxfId="5" dataCellStyle="Moneda"/>
    <tableColumn id="3" name="ANUAL" dataDxfId="4" dataCellStyle="Moneda"/>
    <tableColumn id="4" name="GRATIFICACION" dataDxfId="3" dataCellStyle="Moneda"/>
    <tableColumn id="5" name="ESSALUD" dataDxfId="2" dataCellStyle="Moneda"/>
    <tableColumn id="6" name="SENATI" dataDxfId="1" dataCellStyle="Moneda"/>
    <tableColumn id="7" name="TOTAL ANUAL" dataDxfId="0" dataCellStyle="Moned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1"/>
  <sheetViews>
    <sheetView workbookViewId="0">
      <selection activeCell="K17" sqref="K17"/>
    </sheetView>
  </sheetViews>
  <sheetFormatPr baseColWidth="10" defaultRowHeight="15" x14ac:dyDescent="0.25"/>
  <cols>
    <col min="2" max="3" width="12.7109375" customWidth="1"/>
    <col min="5" max="5" width="13.85546875" customWidth="1"/>
    <col min="11" max="11" width="13.85546875" customWidth="1"/>
  </cols>
  <sheetData>
    <row r="1" spans="2:12" ht="15.75" thickBot="1" x14ac:dyDescent="0.3"/>
    <row r="2" spans="2:12" ht="32.25" thickBot="1" x14ac:dyDescent="0.3">
      <c r="B2" s="1" t="s">
        <v>0</v>
      </c>
      <c r="C2" s="2" t="s">
        <v>1</v>
      </c>
      <c r="D2" s="2" t="s">
        <v>2</v>
      </c>
      <c r="E2" s="2" t="s">
        <v>3</v>
      </c>
      <c r="F2" s="2" t="s">
        <v>4</v>
      </c>
      <c r="H2" s="24" t="s">
        <v>46</v>
      </c>
    </row>
    <row r="3" spans="2:12" ht="16.5" thickTop="1" thickBot="1" x14ac:dyDescent="0.3">
      <c r="B3" s="17" t="s">
        <v>5</v>
      </c>
      <c r="C3" s="14">
        <v>13</v>
      </c>
      <c r="D3" s="14" t="s">
        <v>6</v>
      </c>
      <c r="E3" s="14" t="s">
        <v>7</v>
      </c>
      <c r="F3" s="18">
        <v>6</v>
      </c>
      <c r="H3" t="s">
        <v>26</v>
      </c>
    </row>
    <row r="4" spans="2:12" ht="15.75" thickBot="1" x14ac:dyDescent="0.3">
      <c r="B4" s="19" t="s">
        <v>8</v>
      </c>
      <c r="C4" s="15">
        <v>1</v>
      </c>
      <c r="D4" s="15" t="s">
        <v>9</v>
      </c>
      <c r="E4" s="15" t="s">
        <v>9</v>
      </c>
      <c r="F4" s="20">
        <v>0.5</v>
      </c>
      <c r="H4" s="12" t="s">
        <v>26</v>
      </c>
      <c r="I4" s="13"/>
      <c r="J4" s="4" t="s">
        <v>27</v>
      </c>
      <c r="K4" s="4" t="s">
        <v>28</v>
      </c>
      <c r="L4" s="4" t="s">
        <v>29</v>
      </c>
    </row>
    <row r="5" spans="2:12" x14ac:dyDescent="0.25">
      <c r="B5" s="17" t="s">
        <v>10</v>
      </c>
      <c r="C5" s="14">
        <v>2</v>
      </c>
      <c r="D5" s="14" t="s">
        <v>11</v>
      </c>
      <c r="E5" s="14" t="s">
        <v>12</v>
      </c>
      <c r="F5" s="18">
        <v>8</v>
      </c>
      <c r="H5" s="315" t="s">
        <v>30</v>
      </c>
      <c r="I5" s="316"/>
      <c r="J5" s="14" t="s">
        <v>31</v>
      </c>
      <c r="K5" s="14" t="s">
        <v>32</v>
      </c>
      <c r="L5" s="14">
        <v>3200</v>
      </c>
    </row>
    <row r="6" spans="2:12" ht="20.25" customHeight="1" x14ac:dyDescent="0.25">
      <c r="B6" s="19" t="s">
        <v>13</v>
      </c>
      <c r="C6" s="15">
        <v>1</v>
      </c>
      <c r="D6" s="15" t="s">
        <v>14</v>
      </c>
      <c r="E6" s="15" t="s">
        <v>14</v>
      </c>
      <c r="F6" s="20">
        <v>0.25</v>
      </c>
      <c r="H6" s="319" t="s">
        <v>33</v>
      </c>
      <c r="I6" s="320"/>
      <c r="J6" s="15" t="s">
        <v>34</v>
      </c>
      <c r="K6" s="15" t="s">
        <v>32</v>
      </c>
      <c r="L6" s="15">
        <v>3720</v>
      </c>
    </row>
    <row r="7" spans="2:12" ht="15" customHeight="1" x14ac:dyDescent="0.25">
      <c r="B7" s="17" t="s">
        <v>15</v>
      </c>
      <c r="C7" s="14">
        <v>1</v>
      </c>
      <c r="D7" s="14" t="s">
        <v>14</v>
      </c>
      <c r="E7" s="14" t="s">
        <v>14</v>
      </c>
      <c r="F7" s="18">
        <v>0.1</v>
      </c>
      <c r="H7" s="321" t="s">
        <v>35</v>
      </c>
      <c r="I7" s="322"/>
      <c r="J7" s="14"/>
      <c r="K7" s="14" t="s">
        <v>36</v>
      </c>
      <c r="L7" s="14">
        <v>210</v>
      </c>
    </row>
    <row r="8" spans="2:12" ht="24.75" customHeight="1" x14ac:dyDescent="0.25">
      <c r="B8" s="19" t="s">
        <v>16</v>
      </c>
      <c r="C8" s="15">
        <v>1</v>
      </c>
      <c r="D8" s="15" t="s">
        <v>17</v>
      </c>
      <c r="E8" s="15" t="s">
        <v>17</v>
      </c>
      <c r="F8" s="20">
        <v>0.1</v>
      </c>
      <c r="H8" s="319" t="s">
        <v>37</v>
      </c>
      <c r="I8" s="320"/>
      <c r="J8" s="15" t="s">
        <v>38</v>
      </c>
      <c r="K8" s="15" t="s">
        <v>39</v>
      </c>
      <c r="L8" s="15">
        <v>2135</v>
      </c>
    </row>
    <row r="9" spans="2:12" ht="22.5" customHeight="1" thickBot="1" x14ac:dyDescent="0.3">
      <c r="B9" s="17" t="s">
        <v>18</v>
      </c>
      <c r="C9" s="14">
        <v>3</v>
      </c>
      <c r="D9" s="14" t="s">
        <v>19</v>
      </c>
      <c r="E9" s="14" t="s">
        <v>11</v>
      </c>
      <c r="F9" s="18">
        <v>10</v>
      </c>
      <c r="H9" s="317" t="s">
        <v>40</v>
      </c>
      <c r="I9" s="318"/>
      <c r="J9" s="16" t="s">
        <v>41</v>
      </c>
      <c r="K9" s="16" t="s">
        <v>32</v>
      </c>
      <c r="L9" s="16">
        <v>1320</v>
      </c>
    </row>
    <row r="10" spans="2:12" ht="15.75" thickBot="1" x14ac:dyDescent="0.3">
      <c r="B10" s="19" t="s">
        <v>20</v>
      </c>
      <c r="C10" s="15">
        <v>1</v>
      </c>
      <c r="D10" s="15" t="s">
        <v>21</v>
      </c>
      <c r="E10" s="15" t="s">
        <v>21</v>
      </c>
      <c r="F10" s="20">
        <v>2</v>
      </c>
    </row>
    <row r="11" spans="2:12" ht="15.75" thickBot="1" x14ac:dyDescent="0.3">
      <c r="B11" s="17" t="s">
        <v>22</v>
      </c>
      <c r="C11" s="14">
        <v>3</v>
      </c>
      <c r="D11" s="14" t="s">
        <v>19</v>
      </c>
      <c r="E11" s="14" t="s">
        <v>11</v>
      </c>
      <c r="F11" s="18">
        <v>2</v>
      </c>
      <c r="K11" s="3" t="s">
        <v>42</v>
      </c>
      <c r="L11" s="10">
        <v>10585</v>
      </c>
    </row>
    <row r="12" spans="2:12" ht="15.75" thickBot="1" x14ac:dyDescent="0.3">
      <c r="B12" s="19" t="s">
        <v>23</v>
      </c>
      <c r="C12" s="15">
        <v>1</v>
      </c>
      <c r="D12" s="15" t="s">
        <v>24</v>
      </c>
      <c r="E12" s="15" t="s">
        <v>24</v>
      </c>
      <c r="F12" s="20">
        <v>1</v>
      </c>
      <c r="K12" s="5" t="s">
        <v>43</v>
      </c>
      <c r="L12" s="6">
        <v>1110</v>
      </c>
    </row>
    <row r="13" spans="2:12" ht="15.75" customHeight="1" thickBot="1" x14ac:dyDescent="0.3">
      <c r="B13" s="21" t="s">
        <v>25</v>
      </c>
      <c r="C13" s="22">
        <v>1</v>
      </c>
      <c r="D13" s="22" t="s">
        <v>11</v>
      </c>
      <c r="E13" s="22" t="s">
        <v>11</v>
      </c>
      <c r="F13" s="23">
        <v>0.5</v>
      </c>
      <c r="G13" s="36"/>
      <c r="K13" s="7" t="s">
        <v>44</v>
      </c>
      <c r="L13" s="8">
        <v>150</v>
      </c>
    </row>
    <row r="14" spans="2:12" ht="16.5" thickTop="1" thickBot="1" x14ac:dyDescent="0.3">
      <c r="K14" s="9" t="s">
        <v>45</v>
      </c>
      <c r="L14" s="11">
        <v>11845</v>
      </c>
    </row>
    <row r="15" spans="2:12" ht="15.75" thickTop="1" x14ac:dyDescent="0.25"/>
    <row r="18" ht="19.5" customHeight="1" x14ac:dyDescent="0.25"/>
    <row r="20" ht="23.25" customHeight="1" x14ac:dyDescent="0.25"/>
    <row r="21" ht="19.5" customHeight="1" x14ac:dyDescent="0.25"/>
  </sheetData>
  <mergeCells count="5">
    <mergeCell ref="H5:I5"/>
    <mergeCell ref="H9:I9"/>
    <mergeCell ref="H6:I6"/>
    <mergeCell ref="H7:I7"/>
    <mergeCell ref="H8:I8"/>
  </mergeCell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X60"/>
  <sheetViews>
    <sheetView topLeftCell="A40" workbookViewId="0">
      <selection activeCell="C51" sqref="B48:C51"/>
    </sheetView>
  </sheetViews>
  <sheetFormatPr baseColWidth="10" defaultColWidth="11" defaultRowHeight="11.25" x14ac:dyDescent="0.2"/>
  <cols>
    <col min="1" max="1" width="1.85546875" style="63" customWidth="1"/>
    <col min="2" max="2" width="32.85546875" style="63" customWidth="1"/>
    <col min="3" max="3" width="28.140625" style="135" customWidth="1"/>
    <col min="4" max="4" width="13.140625" style="135" customWidth="1"/>
    <col min="5" max="12" width="11.42578125" style="135" customWidth="1"/>
    <col min="13" max="13" width="12.85546875" style="135" customWidth="1"/>
    <col min="14" max="16384" width="11" style="63"/>
  </cols>
  <sheetData>
    <row r="1" spans="2:24" ht="9.75" customHeight="1" x14ac:dyDescent="0.2"/>
    <row r="2" spans="2:24" x14ac:dyDescent="0.2">
      <c r="B2" s="62" t="s">
        <v>144</v>
      </c>
    </row>
    <row r="3" spans="2:24" ht="7.5" customHeight="1" thickBot="1" x14ac:dyDescent="0.25"/>
    <row r="4" spans="2:24" ht="11.25" customHeight="1" thickBot="1" x14ac:dyDescent="0.25">
      <c r="B4" s="297"/>
      <c r="C4" s="298">
        <v>0</v>
      </c>
      <c r="D4" s="298">
        <v>1</v>
      </c>
      <c r="E4" s="298">
        <v>2</v>
      </c>
      <c r="F4" s="298">
        <v>3</v>
      </c>
      <c r="G4" s="298">
        <v>4</v>
      </c>
      <c r="H4" s="298">
        <v>5</v>
      </c>
      <c r="I4" s="298">
        <v>6</v>
      </c>
      <c r="J4" s="298">
        <v>7</v>
      </c>
      <c r="K4" s="298">
        <v>8</v>
      </c>
      <c r="L4" s="298">
        <v>9</v>
      </c>
      <c r="M4" s="299">
        <v>10</v>
      </c>
    </row>
    <row r="5" spans="2:24" ht="13.5" customHeight="1" x14ac:dyDescent="0.2">
      <c r="B5" s="293" t="s">
        <v>54</v>
      </c>
      <c r="C5" s="294"/>
      <c r="D5" s="295">
        <v>1500000</v>
      </c>
      <c r="E5" s="295">
        <v>2925000</v>
      </c>
      <c r="F5" s="295">
        <v>4455000</v>
      </c>
      <c r="G5" s="295">
        <v>4915000</v>
      </c>
      <c r="H5" s="295">
        <v>5225000</v>
      </c>
      <c r="I5" s="295">
        <v>5485000</v>
      </c>
      <c r="J5" s="295">
        <v>5762500</v>
      </c>
      <c r="K5" s="295">
        <v>5935000</v>
      </c>
      <c r="L5" s="295">
        <v>6025000</v>
      </c>
      <c r="M5" s="296">
        <v>6025000</v>
      </c>
    </row>
    <row r="6" spans="2:24" ht="12" x14ac:dyDescent="0.2">
      <c r="B6" s="275"/>
      <c r="C6" s="267"/>
      <c r="D6" s="268"/>
      <c r="E6" s="268"/>
      <c r="F6" s="268"/>
      <c r="G6" s="268"/>
      <c r="H6" s="268"/>
      <c r="I6" s="268"/>
      <c r="J6" s="268"/>
      <c r="K6" s="268"/>
      <c r="L6" s="268"/>
      <c r="M6" s="276"/>
    </row>
    <row r="7" spans="2:24" ht="12" x14ac:dyDescent="0.2">
      <c r="B7" s="290" t="s">
        <v>145</v>
      </c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77"/>
    </row>
    <row r="8" spans="2:24" ht="12" x14ac:dyDescent="0.2">
      <c r="B8" s="288" t="s">
        <v>150</v>
      </c>
      <c r="C8" s="268"/>
      <c r="D8" s="268">
        <v>-2625000</v>
      </c>
      <c r="E8" s="268">
        <v>-3150000</v>
      </c>
      <c r="F8" s="268">
        <v>-3465000</v>
      </c>
      <c r="G8" s="268">
        <v>-3640000</v>
      </c>
      <c r="H8" s="268">
        <v>-3815000</v>
      </c>
      <c r="I8" s="268">
        <v>-4007500</v>
      </c>
      <c r="J8" s="268">
        <v>-4217500</v>
      </c>
      <c r="K8" s="268">
        <v>-4217500</v>
      </c>
      <c r="L8" s="268">
        <v>-4217500</v>
      </c>
      <c r="M8" s="276">
        <v>-4217500</v>
      </c>
      <c r="N8" s="64"/>
    </row>
    <row r="9" spans="2:24" ht="12" x14ac:dyDescent="0.2">
      <c r="B9" s="288" t="s">
        <v>148</v>
      </c>
      <c r="C9" s="268"/>
      <c r="D9" s="269">
        <v>-61460</v>
      </c>
      <c r="E9" s="269">
        <v>-64533</v>
      </c>
      <c r="F9" s="269">
        <v>-67759.650000000009</v>
      </c>
      <c r="G9" s="269">
        <v>-71147.632500000007</v>
      </c>
      <c r="H9" s="269">
        <v>-74705.014125000016</v>
      </c>
      <c r="I9" s="269">
        <v>-78440.264831250024</v>
      </c>
      <c r="J9" s="269">
        <v>-82362.278072812522</v>
      </c>
      <c r="K9" s="269">
        <v>-86480.391976453146</v>
      </c>
      <c r="L9" s="269">
        <v>-90804.411575275808</v>
      </c>
      <c r="M9" s="279">
        <v>-95344.632154039602</v>
      </c>
    </row>
    <row r="10" spans="2:24" ht="12" x14ac:dyDescent="0.2">
      <c r="B10" s="288" t="s">
        <v>149</v>
      </c>
      <c r="C10" s="268"/>
      <c r="D10" s="269">
        <v>-4542</v>
      </c>
      <c r="E10" s="269">
        <v>-4769.1000000000004</v>
      </c>
      <c r="F10" s="269">
        <v>-5007.5550000000003</v>
      </c>
      <c r="G10" s="269">
        <v>-5257.9327500000009</v>
      </c>
      <c r="H10" s="269">
        <v>-5520.8293875000008</v>
      </c>
      <c r="I10" s="269">
        <v>-5796.8708568750008</v>
      </c>
      <c r="J10" s="269">
        <v>-6086.7143997187513</v>
      </c>
      <c r="K10" s="269">
        <v>-6391.0501197046888</v>
      </c>
      <c r="L10" s="269">
        <v>-6710.6026256899231</v>
      </c>
      <c r="M10" s="279">
        <v>-7046.1327569744199</v>
      </c>
    </row>
    <row r="11" spans="2:24" ht="12" x14ac:dyDescent="0.2">
      <c r="B11" s="289" t="s">
        <v>158</v>
      </c>
      <c r="C11" s="268"/>
      <c r="D11" s="269">
        <v>-1262</v>
      </c>
      <c r="E11" s="269">
        <v>-1262</v>
      </c>
      <c r="F11" s="269">
        <v>-1262</v>
      </c>
      <c r="G11" s="269">
        <v>-1262</v>
      </c>
      <c r="H11" s="269">
        <v>-1262</v>
      </c>
      <c r="I11" s="269">
        <v>-1262</v>
      </c>
      <c r="J11" s="269">
        <v>-1262</v>
      </c>
      <c r="K11" s="269">
        <v>-1262</v>
      </c>
      <c r="L11" s="269">
        <v>-1262</v>
      </c>
      <c r="M11" s="279">
        <v>-1262</v>
      </c>
    </row>
    <row r="12" spans="2:24" ht="12" x14ac:dyDescent="0.2">
      <c r="B12" s="278"/>
      <c r="C12" s="268"/>
      <c r="D12" s="269"/>
      <c r="E12" s="269"/>
      <c r="F12" s="269"/>
      <c r="G12" s="269"/>
      <c r="H12" s="269"/>
      <c r="I12" s="269"/>
      <c r="J12" s="269"/>
      <c r="K12" s="269"/>
      <c r="L12" s="269"/>
      <c r="M12" s="279"/>
    </row>
    <row r="13" spans="2:24" ht="12" x14ac:dyDescent="0.2">
      <c r="B13" s="290" t="s">
        <v>182</v>
      </c>
      <c r="C13" s="266"/>
      <c r="D13" s="270"/>
      <c r="E13" s="270"/>
      <c r="F13" s="270"/>
      <c r="G13" s="270"/>
      <c r="H13" s="270"/>
      <c r="I13" s="270"/>
      <c r="J13" s="270"/>
      <c r="K13" s="270"/>
      <c r="L13" s="270"/>
      <c r="M13" s="280"/>
    </row>
    <row r="14" spans="2:24" ht="12" x14ac:dyDescent="0.2">
      <c r="B14" s="288" t="s">
        <v>151</v>
      </c>
      <c r="C14" s="268"/>
      <c r="D14" s="269">
        <v>-122920</v>
      </c>
      <c r="E14" s="269">
        <v>-129066</v>
      </c>
      <c r="F14" s="269">
        <v>-135519.30000000002</v>
      </c>
      <c r="G14" s="269">
        <v>-142295.26500000001</v>
      </c>
      <c r="H14" s="269">
        <v>-149410.02825000003</v>
      </c>
      <c r="I14" s="269">
        <v>-156880.52966250005</v>
      </c>
      <c r="J14" s="269">
        <v>-164724.55614562504</v>
      </c>
      <c r="K14" s="269">
        <v>-172960.78395290629</v>
      </c>
      <c r="L14" s="269">
        <v>-181608.82315055162</v>
      </c>
      <c r="M14" s="279">
        <v>-190689.2643080792</v>
      </c>
      <c r="O14" s="63">
        <v>5625</v>
      </c>
      <c r="P14" s="63">
        <v>12375</v>
      </c>
      <c r="Q14" s="63">
        <v>21675</v>
      </c>
      <c r="R14" s="63">
        <v>24225</v>
      </c>
      <c r="S14" s="63">
        <v>25875</v>
      </c>
      <c r="T14" s="63">
        <v>27162.5</v>
      </c>
      <c r="U14" s="63">
        <v>28525</v>
      </c>
      <c r="V14" s="63">
        <v>29525</v>
      </c>
      <c r="W14" s="63">
        <v>30125</v>
      </c>
      <c r="X14" s="63">
        <v>42175</v>
      </c>
    </row>
    <row r="15" spans="2:24" ht="12" x14ac:dyDescent="0.2">
      <c r="B15" s="288" t="s">
        <v>152</v>
      </c>
      <c r="C15" s="268"/>
      <c r="D15" s="269">
        <v>-93600</v>
      </c>
      <c r="E15" s="269">
        <v>-98280</v>
      </c>
      <c r="F15" s="269">
        <v>-103194</v>
      </c>
      <c r="G15" s="269">
        <v>-108353.70000000001</v>
      </c>
      <c r="H15" s="269">
        <v>-113771.38500000002</v>
      </c>
      <c r="I15" s="269">
        <v>-119459.95425000002</v>
      </c>
      <c r="J15" s="269">
        <v>-125432.95196250002</v>
      </c>
      <c r="K15" s="269">
        <v>-131704.59956062504</v>
      </c>
      <c r="L15" s="269">
        <v>-138289.82953865628</v>
      </c>
      <c r="M15" s="279">
        <v>-145204.32101558911</v>
      </c>
    </row>
    <row r="16" spans="2:24" ht="12" x14ac:dyDescent="0.2">
      <c r="B16" s="288" t="s">
        <v>153</v>
      </c>
      <c r="C16" s="268"/>
      <c r="D16" s="269">
        <v>-3600</v>
      </c>
      <c r="E16" s="269">
        <v>-3672</v>
      </c>
      <c r="F16" s="269">
        <v>-3745.44</v>
      </c>
      <c r="G16" s="269">
        <v>-3820.3488000000002</v>
      </c>
      <c r="H16" s="269">
        <v>-3896.7557760000004</v>
      </c>
      <c r="I16" s="269">
        <v>-3974.6908915200006</v>
      </c>
      <c r="J16" s="269">
        <v>-4054.1847093504007</v>
      </c>
      <c r="K16" s="269">
        <v>-4135.2684035374086</v>
      </c>
      <c r="L16" s="269">
        <v>-4217.9737716081572</v>
      </c>
      <c r="M16" s="279">
        <v>-4302.3332470403202</v>
      </c>
    </row>
    <row r="17" spans="2:13" ht="12" x14ac:dyDescent="0.2">
      <c r="B17" s="288" t="s">
        <v>157</v>
      </c>
      <c r="C17" s="268"/>
      <c r="D17" s="269">
        <v>-1200</v>
      </c>
      <c r="E17" s="269">
        <v>-1260</v>
      </c>
      <c r="F17" s="269">
        <v>-1323</v>
      </c>
      <c r="G17" s="269">
        <v>-1389.15</v>
      </c>
      <c r="H17" s="269">
        <v>-1458.6075000000001</v>
      </c>
      <c r="I17" s="269">
        <v>-1531.5378750000002</v>
      </c>
      <c r="J17" s="269">
        <v>-1608.1147687500004</v>
      </c>
      <c r="K17" s="269">
        <v>-1688.5205071875005</v>
      </c>
      <c r="L17" s="269">
        <v>-1772.9465325468755</v>
      </c>
      <c r="M17" s="279">
        <v>-1861.5938591742192</v>
      </c>
    </row>
    <row r="18" spans="2:13" ht="12" x14ac:dyDescent="0.2">
      <c r="B18" s="288"/>
      <c r="C18" s="268"/>
      <c r="D18" s="269"/>
      <c r="E18" s="269"/>
      <c r="F18" s="269"/>
      <c r="G18" s="269"/>
      <c r="H18" s="269"/>
      <c r="I18" s="269"/>
      <c r="J18" s="269"/>
      <c r="K18" s="269"/>
      <c r="L18" s="269"/>
      <c r="M18" s="279"/>
    </row>
    <row r="19" spans="2:13" ht="12" x14ac:dyDescent="0.2">
      <c r="B19" s="290" t="s">
        <v>146</v>
      </c>
      <c r="C19" s="266"/>
      <c r="D19" s="270"/>
      <c r="E19" s="270"/>
      <c r="F19" s="270"/>
      <c r="G19" s="270"/>
      <c r="H19" s="270"/>
      <c r="I19" s="270"/>
      <c r="J19" s="270"/>
      <c r="K19" s="270"/>
      <c r="L19" s="270"/>
      <c r="M19" s="280"/>
    </row>
    <row r="20" spans="2:13" ht="12" x14ac:dyDescent="0.2">
      <c r="B20" s="288" t="s">
        <v>151</v>
      </c>
      <c r="C20" s="268"/>
      <c r="D20" s="269">
        <v>-207427.5</v>
      </c>
      <c r="E20" s="269">
        <v>-96799.5</v>
      </c>
      <c r="F20" s="269">
        <v>-99703.485000000001</v>
      </c>
      <c r="G20" s="269">
        <v>-102694.58955</v>
      </c>
      <c r="H20" s="269">
        <v>-105775.42723650001</v>
      </c>
      <c r="I20" s="269">
        <v>-108948.69005359501</v>
      </c>
      <c r="J20" s="269">
        <v>-112217.15075520286</v>
      </c>
      <c r="K20" s="269">
        <v>-115583.66527785895</v>
      </c>
      <c r="L20" s="269">
        <v>-119051.17523619471</v>
      </c>
      <c r="M20" s="279">
        <v>-122622.71049328055</v>
      </c>
    </row>
    <row r="21" spans="2:13" ht="12" x14ac:dyDescent="0.2">
      <c r="B21" s="288" t="s">
        <v>154</v>
      </c>
      <c r="C21" s="268"/>
      <c r="D21" s="269">
        <v>-48000</v>
      </c>
      <c r="E21" s="269">
        <v>-24000</v>
      </c>
      <c r="F21" s="269">
        <v>-24720</v>
      </c>
      <c r="G21" s="269">
        <v>-25461.600000000002</v>
      </c>
      <c r="H21" s="269">
        <v>-26225.448000000004</v>
      </c>
      <c r="I21" s="269">
        <v>-27012.211440000006</v>
      </c>
      <c r="J21" s="269">
        <v>-27822.577783200006</v>
      </c>
      <c r="K21" s="269">
        <v>-28657.255116696007</v>
      </c>
      <c r="L21" s="269">
        <v>-29516.972770196888</v>
      </c>
      <c r="M21" s="279">
        <v>-30402.481953302795</v>
      </c>
    </row>
    <row r="22" spans="2:13" ht="12" x14ac:dyDescent="0.2">
      <c r="B22" s="288" t="s">
        <v>155</v>
      </c>
      <c r="C22" s="268"/>
      <c r="D22" s="269">
        <v>-4200</v>
      </c>
      <c r="E22" s="269">
        <v>-4326</v>
      </c>
      <c r="F22" s="269">
        <v>-4455.78</v>
      </c>
      <c r="G22" s="269">
        <v>-4589.4533999999994</v>
      </c>
      <c r="H22" s="269">
        <v>-4727.1370019999995</v>
      </c>
      <c r="I22" s="269">
        <v>-4868.95111206</v>
      </c>
      <c r="J22" s="269">
        <v>-5015.0196454218003</v>
      </c>
      <c r="K22" s="269">
        <v>-5165.4702347844541</v>
      </c>
      <c r="L22" s="269">
        <v>-5320.4343418279877</v>
      </c>
      <c r="M22" s="279">
        <v>-5480.0473720828277</v>
      </c>
    </row>
    <row r="23" spans="2:13" ht="12" x14ac:dyDescent="0.2">
      <c r="B23" s="288" t="s">
        <v>156</v>
      </c>
      <c r="C23" s="268"/>
      <c r="D23" s="269">
        <v>-37500</v>
      </c>
      <c r="E23" s="269">
        <v>-14625</v>
      </c>
      <c r="F23" s="269">
        <v>-22275</v>
      </c>
      <c r="G23" s="269">
        <v>-24575</v>
      </c>
      <c r="H23" s="269">
        <v>-26125</v>
      </c>
      <c r="I23" s="269">
        <v>-27425</v>
      </c>
      <c r="J23" s="269">
        <v>-28812.5</v>
      </c>
      <c r="K23" s="269">
        <v>-29675</v>
      </c>
      <c r="L23" s="269">
        <v>-30125</v>
      </c>
      <c r="M23" s="279">
        <v>-30125</v>
      </c>
    </row>
    <row r="24" spans="2:13" ht="12" x14ac:dyDescent="0.2">
      <c r="B24" s="288"/>
      <c r="C24" s="268"/>
      <c r="D24" s="269"/>
      <c r="E24" s="269"/>
      <c r="F24" s="269"/>
      <c r="G24" s="269"/>
      <c r="H24" s="269"/>
      <c r="I24" s="269"/>
      <c r="J24" s="269"/>
      <c r="K24" s="269"/>
      <c r="L24" s="269"/>
      <c r="M24" s="279"/>
    </row>
    <row r="25" spans="2:13" ht="12" x14ac:dyDescent="0.2">
      <c r="B25" s="289" t="s">
        <v>159</v>
      </c>
      <c r="C25" s="268"/>
      <c r="D25" s="269">
        <v>-6560</v>
      </c>
      <c r="E25" s="269">
        <v>-6067</v>
      </c>
      <c r="F25" s="269">
        <v>-6067</v>
      </c>
      <c r="G25" s="269">
        <v>-6067</v>
      </c>
      <c r="H25" s="269">
        <v>-6067</v>
      </c>
      <c r="I25" s="269">
        <v>-6067</v>
      </c>
      <c r="J25" s="269">
        <v>-6067</v>
      </c>
      <c r="K25" s="269">
        <v>-6067</v>
      </c>
      <c r="L25" s="269">
        <v>-6067</v>
      </c>
      <c r="M25" s="279">
        <v>-6067</v>
      </c>
    </row>
    <row r="26" spans="2:13" ht="12" x14ac:dyDescent="0.2">
      <c r="B26" s="288"/>
      <c r="C26" s="268"/>
      <c r="D26" s="268"/>
      <c r="E26" s="268"/>
      <c r="F26" s="268"/>
      <c r="G26" s="268"/>
      <c r="H26" s="268"/>
      <c r="I26" s="268"/>
      <c r="J26" s="268"/>
      <c r="K26" s="268"/>
      <c r="L26" s="268"/>
      <c r="M26" s="281"/>
    </row>
    <row r="27" spans="2:13" ht="12" x14ac:dyDescent="0.2">
      <c r="B27" s="290" t="s">
        <v>160</v>
      </c>
      <c r="C27" s="266"/>
      <c r="D27" s="270"/>
      <c r="E27" s="270"/>
      <c r="F27" s="270"/>
      <c r="G27" s="270"/>
      <c r="H27" s="270"/>
      <c r="I27" s="270"/>
      <c r="J27" s="270"/>
      <c r="K27" s="270"/>
      <c r="L27" s="270"/>
      <c r="M27" s="280"/>
    </row>
    <row r="28" spans="2:13" ht="12" x14ac:dyDescent="0.2">
      <c r="B28" s="288" t="s">
        <v>47</v>
      </c>
      <c r="C28" s="268">
        <f>-8020-7800</f>
        <v>-15820</v>
      </c>
      <c r="D28" s="267"/>
      <c r="E28" s="268"/>
      <c r="F28" s="268"/>
      <c r="G28" s="268"/>
      <c r="H28" s="268"/>
      <c r="I28" s="268">
        <v>-4600</v>
      </c>
      <c r="J28" s="268"/>
      <c r="K28" s="268"/>
      <c r="L28" s="268"/>
      <c r="M28" s="281"/>
    </row>
    <row r="29" spans="2:13" ht="12" x14ac:dyDescent="0.2">
      <c r="B29" s="288" t="s">
        <v>49</v>
      </c>
      <c r="C29" s="268">
        <v>-55000</v>
      </c>
      <c r="D29" s="267"/>
      <c r="E29" s="268"/>
      <c r="F29" s="268"/>
      <c r="G29" s="268"/>
      <c r="H29" s="268"/>
      <c r="I29" s="268">
        <v>-10600</v>
      </c>
      <c r="J29" s="268"/>
      <c r="K29" s="268"/>
      <c r="L29" s="268"/>
      <c r="M29" s="281"/>
    </row>
    <row r="30" spans="2:13" ht="12" x14ac:dyDescent="0.2">
      <c r="B30" s="289" t="s">
        <v>174</v>
      </c>
      <c r="C30" s="268">
        <v>-437500</v>
      </c>
      <c r="D30" s="267"/>
      <c r="E30" s="268">
        <v>-87500</v>
      </c>
      <c r="F30" s="268">
        <v>-8750.0000000000146</v>
      </c>
      <c r="G30" s="268">
        <v>-437.50000000000182</v>
      </c>
      <c r="H30" s="268">
        <v>-21.875000000000114</v>
      </c>
      <c r="I30" s="268">
        <v>-1.0937500000000071</v>
      </c>
      <c r="J30" s="268">
        <v>-5.4687500000000444E-2</v>
      </c>
      <c r="K30" s="268">
        <v>0</v>
      </c>
      <c r="L30" s="268">
        <v>0</v>
      </c>
      <c r="M30" s="282">
        <v>0</v>
      </c>
    </row>
    <row r="31" spans="2:13" ht="12" x14ac:dyDescent="0.2">
      <c r="B31" s="288" t="s">
        <v>170</v>
      </c>
      <c r="C31" s="268"/>
      <c r="D31" s="268"/>
      <c r="E31" s="268"/>
      <c r="F31" s="268"/>
      <c r="G31" s="268"/>
      <c r="H31" s="268"/>
      <c r="I31" s="268"/>
      <c r="J31" s="268"/>
      <c r="K31" s="268"/>
      <c r="L31" s="268"/>
      <c r="M31" s="283">
        <f>(C30+E30+F30+G30+H30+I30+J30+K30+L30)*-1</f>
        <v>534210.5234375</v>
      </c>
    </row>
    <row r="32" spans="2:13" ht="12" x14ac:dyDescent="0.2">
      <c r="B32" s="289" t="s">
        <v>167</v>
      </c>
      <c r="C32" s="268">
        <v>-13000</v>
      </c>
      <c r="D32" s="268"/>
      <c r="E32" s="268"/>
      <c r="F32" s="268"/>
      <c r="G32" s="268"/>
      <c r="H32" s="268"/>
      <c r="I32" s="268"/>
      <c r="J32" s="268"/>
      <c r="K32" s="268"/>
      <c r="L32" s="268"/>
      <c r="M32" s="281"/>
    </row>
    <row r="33" spans="2:17" ht="12" x14ac:dyDescent="0.2">
      <c r="B33" s="290" t="s">
        <v>168</v>
      </c>
      <c r="C33" s="266">
        <f>SUM(C28:C32)</f>
        <v>-521320</v>
      </c>
      <c r="D33" s="270"/>
      <c r="E33" s="270"/>
      <c r="F33" s="270"/>
      <c r="G33" s="270"/>
      <c r="H33" s="270">
        <f>SUM(H28:H32)</f>
        <v>-21.875000000000114</v>
      </c>
      <c r="I33" s="270">
        <f>SUM(I28:I32)</f>
        <v>-15201.09375</v>
      </c>
      <c r="J33" s="270"/>
      <c r="K33" s="270"/>
      <c r="L33" s="270"/>
      <c r="M33" s="280"/>
    </row>
    <row r="34" spans="2:17" ht="12" x14ac:dyDescent="0.2">
      <c r="B34" s="288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81"/>
    </row>
    <row r="35" spans="2:17" ht="12" x14ac:dyDescent="0.2">
      <c r="B35" s="290" t="s">
        <v>55</v>
      </c>
      <c r="C35" s="266"/>
      <c r="D35" s="270">
        <f>SUM(D5:D33)</f>
        <v>-1717271.5</v>
      </c>
      <c r="E35" s="270">
        <f>SUM(E5:E33)</f>
        <v>-761159.6</v>
      </c>
      <c r="F35" s="270">
        <f>SUM(F5:F33)</f>
        <v>506217.78999999992</v>
      </c>
      <c r="G35" s="270">
        <f>SUM(G5:G33)</f>
        <v>777648.82799999986</v>
      </c>
      <c r="H35" s="270">
        <f>SUM(H5:H32)</f>
        <v>891033.49272300024</v>
      </c>
      <c r="I35" s="270">
        <f>SUM(I5:I32)</f>
        <v>920631.20527719997</v>
      </c>
      <c r="J35" s="270">
        <f>SUM(J5:J33)</f>
        <v>979534.89706991869</v>
      </c>
      <c r="K35" s="270">
        <f>SUM(K5:K33)</f>
        <v>1127728.9948502465</v>
      </c>
      <c r="L35" s="270">
        <f>SUM(L5:L33)</f>
        <v>1192752.830457452</v>
      </c>
      <c r="M35" s="280">
        <f>SUM(M5:M26)</f>
        <v>1167092.482840437</v>
      </c>
    </row>
    <row r="36" spans="2:17" ht="12" x14ac:dyDescent="0.2">
      <c r="B36" s="288"/>
      <c r="C36" s="268"/>
      <c r="D36" s="268"/>
      <c r="E36" s="268"/>
      <c r="F36" s="268"/>
      <c r="G36" s="268"/>
      <c r="H36" s="268"/>
      <c r="I36" s="268"/>
      <c r="J36" s="268"/>
      <c r="K36" s="268"/>
      <c r="L36" s="268"/>
      <c r="M36" s="281"/>
    </row>
    <row r="37" spans="2:17" ht="12" x14ac:dyDescent="0.2">
      <c r="B37" s="288" t="s">
        <v>169</v>
      </c>
      <c r="C37" s="268"/>
      <c r="D37" s="268">
        <f>-D35*0.3</f>
        <v>515181.44999999995</v>
      </c>
      <c r="E37" s="268">
        <f t="shared" ref="E37:M37" si="0">-E35*0.3</f>
        <v>228347.87999999998</v>
      </c>
      <c r="F37" s="268">
        <f t="shared" si="0"/>
        <v>-151865.33699999997</v>
      </c>
      <c r="G37" s="268">
        <f t="shared" si="0"/>
        <v>-233294.64839999995</v>
      </c>
      <c r="H37" s="268">
        <f t="shared" si="0"/>
        <v>-267310.04781690007</v>
      </c>
      <c r="I37" s="268">
        <f t="shared" si="0"/>
        <v>-276189.36158316</v>
      </c>
      <c r="J37" s="268">
        <f t="shared" si="0"/>
        <v>-293860.46912097558</v>
      </c>
      <c r="K37" s="268">
        <f t="shared" si="0"/>
        <v>-338318.69845507393</v>
      </c>
      <c r="L37" s="268">
        <f t="shared" si="0"/>
        <v>-357825.84913723561</v>
      </c>
      <c r="M37" s="276">
        <f t="shared" si="0"/>
        <v>-350127.74485213106</v>
      </c>
    </row>
    <row r="38" spans="2:17" ht="12" x14ac:dyDescent="0.2">
      <c r="B38" s="288"/>
      <c r="C38" s="268"/>
      <c r="D38" s="267"/>
      <c r="E38" s="268"/>
      <c r="F38" s="268"/>
      <c r="G38" s="268"/>
      <c r="H38" s="268"/>
      <c r="I38" s="268"/>
      <c r="J38" s="268"/>
      <c r="K38" s="268"/>
      <c r="L38" s="268"/>
      <c r="M38" s="281"/>
    </row>
    <row r="39" spans="2:17" ht="12" x14ac:dyDescent="0.2">
      <c r="B39" s="290" t="s">
        <v>56</v>
      </c>
      <c r="C39" s="266"/>
      <c r="D39" s="270">
        <f>SUM(D35:D37)</f>
        <v>-1202090.05</v>
      </c>
      <c r="E39" s="270">
        <f t="shared" ref="E39:M39" si="1">SUM(E35:E37)</f>
        <v>-532811.72</v>
      </c>
      <c r="F39" s="270">
        <f t="shared" si="1"/>
        <v>354352.45299999998</v>
      </c>
      <c r="G39" s="270">
        <f t="shared" si="1"/>
        <v>544354.17959999992</v>
      </c>
      <c r="H39" s="270">
        <f t="shared" si="1"/>
        <v>623723.44490610017</v>
      </c>
      <c r="I39" s="270">
        <f t="shared" si="1"/>
        <v>644441.84369403997</v>
      </c>
      <c r="J39" s="270">
        <f t="shared" si="1"/>
        <v>685674.42794894311</v>
      </c>
      <c r="K39" s="270">
        <f t="shared" si="1"/>
        <v>789410.2963951726</v>
      </c>
      <c r="L39" s="270">
        <f t="shared" si="1"/>
        <v>834926.98132021632</v>
      </c>
      <c r="M39" s="280">
        <f t="shared" si="1"/>
        <v>816964.73798830598</v>
      </c>
    </row>
    <row r="40" spans="2:17" ht="12" x14ac:dyDescent="0.2">
      <c r="B40" s="288"/>
      <c r="C40" s="268"/>
      <c r="D40" s="268"/>
      <c r="E40" s="268"/>
      <c r="F40" s="268"/>
      <c r="G40" s="268"/>
      <c r="H40" s="268"/>
      <c r="I40" s="268"/>
      <c r="J40" s="268"/>
      <c r="K40" s="268"/>
      <c r="L40" s="268"/>
      <c r="M40" s="281"/>
    </row>
    <row r="41" spans="2:17" ht="12" x14ac:dyDescent="0.2">
      <c r="B41" s="289" t="s">
        <v>57</v>
      </c>
      <c r="C41" s="268"/>
      <c r="D41" s="268">
        <f t="shared" ref="D41:M41" si="2">-D11-D25</f>
        <v>7822</v>
      </c>
      <c r="E41" s="268">
        <f t="shared" si="2"/>
        <v>7329</v>
      </c>
      <c r="F41" s="268">
        <f t="shared" si="2"/>
        <v>7329</v>
      </c>
      <c r="G41" s="268">
        <f t="shared" si="2"/>
        <v>7329</v>
      </c>
      <c r="H41" s="268">
        <f t="shared" si="2"/>
        <v>7329</v>
      </c>
      <c r="I41" s="268">
        <f t="shared" si="2"/>
        <v>7329</v>
      </c>
      <c r="J41" s="268">
        <f t="shared" si="2"/>
        <v>7329</v>
      </c>
      <c r="K41" s="268">
        <f t="shared" si="2"/>
        <v>7329</v>
      </c>
      <c r="L41" s="268">
        <f t="shared" si="2"/>
        <v>7329</v>
      </c>
      <c r="M41" s="276">
        <f t="shared" si="2"/>
        <v>7329</v>
      </c>
    </row>
    <row r="42" spans="2:17" ht="12" x14ac:dyDescent="0.2">
      <c r="B42" s="288"/>
      <c r="C42" s="267"/>
      <c r="D42" s="267"/>
      <c r="E42" s="267"/>
      <c r="F42" s="267"/>
      <c r="G42" s="267"/>
      <c r="H42" s="267"/>
      <c r="I42" s="267"/>
      <c r="J42" s="267"/>
      <c r="K42" s="267"/>
      <c r="L42" s="267"/>
      <c r="M42" s="281"/>
    </row>
    <row r="43" spans="2:17" ht="12" x14ac:dyDescent="0.2">
      <c r="B43" s="290" t="s">
        <v>58</v>
      </c>
      <c r="C43" s="266"/>
      <c r="D43" s="270">
        <f>SUM(D39:D41)</f>
        <v>-1194268.05</v>
      </c>
      <c r="E43" s="270">
        <f t="shared" ref="E43:M43" si="3">SUM(E39:E41)</f>
        <v>-525482.72</v>
      </c>
      <c r="F43" s="270">
        <f t="shared" si="3"/>
        <v>361681.45299999998</v>
      </c>
      <c r="G43" s="270">
        <f t="shared" si="3"/>
        <v>551683.17959999992</v>
      </c>
      <c r="H43" s="270">
        <f t="shared" si="3"/>
        <v>631052.44490610017</v>
      </c>
      <c r="I43" s="270">
        <f t="shared" si="3"/>
        <v>651770.84369403997</v>
      </c>
      <c r="J43" s="270">
        <f t="shared" si="3"/>
        <v>693003.42794894311</v>
      </c>
      <c r="K43" s="270">
        <f t="shared" si="3"/>
        <v>796739.2963951726</v>
      </c>
      <c r="L43" s="270">
        <f t="shared" si="3"/>
        <v>842255.98132021632</v>
      </c>
      <c r="M43" s="280">
        <f t="shared" si="3"/>
        <v>824293.73798830598</v>
      </c>
    </row>
    <row r="44" spans="2:17" ht="12" x14ac:dyDescent="0.2">
      <c r="B44" s="291" t="s">
        <v>171</v>
      </c>
      <c r="C44" s="267"/>
      <c r="D44" s="267"/>
      <c r="E44" s="267"/>
      <c r="F44" s="271"/>
      <c r="G44" s="272"/>
      <c r="H44" s="273"/>
      <c r="I44" s="273"/>
      <c r="J44" s="273"/>
      <c r="K44" s="273"/>
      <c r="L44" s="273"/>
      <c r="M44" s="284">
        <f>SUM(M30:M31)</f>
        <v>534210.5234375</v>
      </c>
      <c r="N44" s="274"/>
      <c r="O44" s="263"/>
      <c r="P44" s="263"/>
      <c r="Q44" s="264"/>
    </row>
    <row r="45" spans="2:17" ht="12.75" thickBot="1" x14ac:dyDescent="0.25">
      <c r="B45" s="292" t="s">
        <v>59</v>
      </c>
      <c r="C45" s="285">
        <f>C33</f>
        <v>-521320</v>
      </c>
      <c r="D45" s="286">
        <f>D43</f>
        <v>-1194268.05</v>
      </c>
      <c r="E45" s="286">
        <f t="shared" ref="E45:L45" si="4">E43</f>
        <v>-525482.72</v>
      </c>
      <c r="F45" s="286">
        <f t="shared" si="4"/>
        <v>361681.45299999998</v>
      </c>
      <c r="G45" s="286">
        <f t="shared" si="4"/>
        <v>551683.17959999992</v>
      </c>
      <c r="H45" s="286">
        <f t="shared" si="4"/>
        <v>631052.44490610017</v>
      </c>
      <c r="I45" s="286">
        <f t="shared" si="4"/>
        <v>651770.84369403997</v>
      </c>
      <c r="J45" s="286">
        <f t="shared" si="4"/>
        <v>693003.42794894311</v>
      </c>
      <c r="K45" s="286">
        <f t="shared" si="4"/>
        <v>796739.2963951726</v>
      </c>
      <c r="L45" s="286">
        <f t="shared" si="4"/>
        <v>842255.98132021632</v>
      </c>
      <c r="M45" s="287">
        <f>M43+M44</f>
        <v>1358504.261425806</v>
      </c>
    </row>
    <row r="48" spans="2:17" ht="12.75" x14ac:dyDescent="0.2">
      <c r="B48" s="300" t="s">
        <v>184</v>
      </c>
      <c r="C48" s="301">
        <v>0.1</v>
      </c>
    </row>
    <row r="49" spans="2:13" ht="12.75" x14ac:dyDescent="0.2">
      <c r="B49" s="48" t="s">
        <v>173</v>
      </c>
      <c r="C49" s="302">
        <f>NPV(10%,D45:M45)+C45</f>
        <v>975249.81959616672</v>
      </c>
    </row>
    <row r="50" spans="2:13" ht="12.75" x14ac:dyDescent="0.2">
      <c r="B50" s="300" t="s">
        <v>172</v>
      </c>
      <c r="C50" s="301">
        <f>IRR(C45:M45)</f>
        <v>0.17888209182787418</v>
      </c>
    </row>
    <row r="51" spans="2:13" ht="12.75" x14ac:dyDescent="0.2">
      <c r="B51" s="48" t="s">
        <v>183</v>
      </c>
      <c r="C51" s="303" t="s">
        <v>230</v>
      </c>
    </row>
    <row r="58" spans="2:13" x14ac:dyDescent="0.2">
      <c r="D58" s="136"/>
      <c r="E58" s="136"/>
      <c r="F58" s="136"/>
      <c r="G58" s="136"/>
      <c r="H58" s="136"/>
      <c r="I58" s="136"/>
      <c r="J58" s="136"/>
      <c r="K58" s="136"/>
      <c r="L58" s="136"/>
      <c r="M58" s="136"/>
    </row>
    <row r="59" spans="2:13" x14ac:dyDescent="0.2">
      <c r="D59" s="137"/>
      <c r="E59" s="137"/>
      <c r="F59" s="137"/>
      <c r="G59" s="137"/>
      <c r="H59" s="137"/>
      <c r="I59" s="137"/>
      <c r="J59" s="137"/>
      <c r="K59" s="137"/>
      <c r="L59" s="137"/>
      <c r="M59" s="138"/>
    </row>
    <row r="60" spans="2:13" x14ac:dyDescent="0.2">
      <c r="D60" s="137"/>
      <c r="E60" s="137"/>
      <c r="F60" s="137"/>
      <c r="G60" s="137"/>
      <c r="H60" s="137"/>
      <c r="I60" s="137"/>
      <c r="J60" s="137"/>
      <c r="K60" s="137"/>
      <c r="L60" s="137"/>
      <c r="M60" s="13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00"/>
  <sheetViews>
    <sheetView tabSelected="1" zoomScale="90" zoomScaleNormal="90" workbookViewId="0">
      <selection activeCell="F12" sqref="F12"/>
    </sheetView>
  </sheetViews>
  <sheetFormatPr baseColWidth="10" defaultColWidth="11" defaultRowHeight="12.75" x14ac:dyDescent="0.2"/>
  <cols>
    <col min="1" max="1" width="2.42578125" style="45" customWidth="1"/>
    <col min="2" max="3" width="44.42578125" style="45" customWidth="1"/>
    <col min="4" max="4" width="26.42578125" style="45" customWidth="1"/>
    <col min="5" max="5" width="13" style="45" customWidth="1"/>
    <col min="6" max="6" width="13.5703125" style="45" customWidth="1"/>
    <col min="7" max="8" width="10.85546875" style="45" customWidth="1"/>
    <col min="9" max="9" width="11.42578125" style="45" customWidth="1"/>
    <col min="10" max="16384" width="11" style="45"/>
  </cols>
  <sheetData>
    <row r="1" spans="2:14" x14ac:dyDescent="0.2">
      <c r="E1" s="45" t="s">
        <v>69</v>
      </c>
      <c r="F1" s="45">
        <v>7800</v>
      </c>
      <c r="G1" s="45" t="s">
        <v>60</v>
      </c>
    </row>
    <row r="2" spans="2:14" ht="13.5" thickBot="1" x14ac:dyDescent="0.25"/>
    <row r="3" spans="2:14" ht="15" customHeight="1" x14ac:dyDescent="0.2">
      <c r="B3" s="323" t="s">
        <v>73</v>
      </c>
      <c r="C3" s="324"/>
    </row>
    <row r="4" spans="2:14" ht="15" x14ac:dyDescent="0.25">
      <c r="B4" s="246" t="s">
        <v>228</v>
      </c>
      <c r="C4" s="311">
        <v>93600</v>
      </c>
    </row>
    <row r="5" spans="2:14" ht="15" x14ac:dyDescent="0.25">
      <c r="B5" s="113" t="s">
        <v>48</v>
      </c>
      <c r="C5" s="113">
        <v>10</v>
      </c>
    </row>
    <row r="6" spans="2:14" ht="15.75" thickBot="1" x14ac:dyDescent="0.3">
      <c r="B6" s="65"/>
      <c r="C6" s="65"/>
    </row>
    <row r="7" spans="2:14" ht="14.25" customHeight="1" x14ac:dyDescent="0.2">
      <c r="B7" s="314" t="s">
        <v>134</v>
      </c>
      <c r="C7" s="245" t="s">
        <v>208</v>
      </c>
      <c r="F7" s="102"/>
      <c r="G7" s="102"/>
      <c r="H7" s="102"/>
      <c r="I7" s="102"/>
      <c r="J7" s="102"/>
      <c r="K7" s="102"/>
      <c r="L7" s="102"/>
      <c r="M7" s="102"/>
      <c r="N7" s="102"/>
    </row>
    <row r="8" spans="2:14" ht="16.5" customHeight="1" thickBot="1" x14ac:dyDescent="0.3">
      <c r="B8" s="312" t="s">
        <v>135</v>
      </c>
      <c r="C8" s="313">
        <v>437500</v>
      </c>
      <c r="D8" s="49"/>
      <c r="F8" s="49"/>
      <c r="G8" s="49"/>
      <c r="H8" s="49"/>
      <c r="I8" s="49"/>
      <c r="J8" s="49"/>
      <c r="K8" s="49"/>
      <c r="L8" s="49"/>
      <c r="M8" s="49"/>
      <c r="N8" s="49"/>
    </row>
    <row r="9" spans="2:14" ht="15.75" thickBot="1" x14ac:dyDescent="0.3">
      <c r="B9" s="65"/>
      <c r="C9" s="65"/>
      <c r="D9" s="49"/>
      <c r="I9" s="47"/>
    </row>
    <row r="10" spans="2:14" ht="14.25" x14ac:dyDescent="0.2">
      <c r="B10" s="314" t="s">
        <v>143</v>
      </c>
      <c r="C10" s="245"/>
      <c r="D10" s="49"/>
      <c r="I10" s="47"/>
    </row>
    <row r="11" spans="2:14" ht="15" x14ac:dyDescent="0.25">
      <c r="B11" s="246" t="s">
        <v>50</v>
      </c>
      <c r="C11" s="257">
        <v>10000</v>
      </c>
      <c r="D11" s="49"/>
      <c r="I11" s="47"/>
    </row>
    <row r="12" spans="2:14" ht="15" x14ac:dyDescent="0.25">
      <c r="B12" s="113" t="s">
        <v>51</v>
      </c>
      <c r="C12" s="258">
        <v>1000</v>
      </c>
      <c r="D12" s="49"/>
      <c r="I12" s="47"/>
    </row>
    <row r="13" spans="2:14" ht="15" x14ac:dyDescent="0.25">
      <c r="B13" s="246" t="s">
        <v>52</v>
      </c>
      <c r="C13" s="257">
        <v>1000</v>
      </c>
      <c r="D13" s="49"/>
      <c r="I13" s="47"/>
    </row>
    <row r="14" spans="2:14" ht="15.75" thickBot="1" x14ac:dyDescent="0.3">
      <c r="B14" s="259" t="s">
        <v>53</v>
      </c>
      <c r="C14" s="260">
        <v>1000</v>
      </c>
      <c r="D14" s="49"/>
      <c r="I14" s="47"/>
    </row>
    <row r="15" spans="2:14" ht="15.75" thickBot="1" x14ac:dyDescent="0.3">
      <c r="B15" s="261" t="s">
        <v>68</v>
      </c>
      <c r="C15" s="262">
        <f>SUM(C11:C14)</f>
        <v>13000</v>
      </c>
      <c r="D15" s="49"/>
      <c r="I15" s="47"/>
    </row>
    <row r="16" spans="2:14" x14ac:dyDescent="0.2">
      <c r="I16" s="47"/>
    </row>
    <row r="17" spans="2:9" x14ac:dyDescent="0.2">
      <c r="B17" s="45" t="s">
        <v>209</v>
      </c>
      <c r="I17" s="47"/>
    </row>
    <row r="18" spans="2:9" ht="13.5" thickBot="1" x14ac:dyDescent="0.25">
      <c r="I18" s="47"/>
    </row>
    <row r="19" spans="2:9" x14ac:dyDescent="0.2">
      <c r="B19" s="109"/>
      <c r="C19" s="109">
        <v>0</v>
      </c>
      <c r="D19" s="109">
        <v>1</v>
      </c>
      <c r="E19" s="109">
        <v>2</v>
      </c>
      <c r="F19" s="109">
        <v>3</v>
      </c>
      <c r="G19" s="109">
        <v>4</v>
      </c>
    </row>
    <row r="20" spans="2:9" x14ac:dyDescent="0.2">
      <c r="B20" s="119" t="s">
        <v>210</v>
      </c>
      <c r="C20" s="101"/>
      <c r="D20" s="101"/>
      <c r="E20" s="101">
        <v>0.2</v>
      </c>
      <c r="F20" s="101">
        <v>0.1</v>
      </c>
      <c r="G20" s="101">
        <v>0.05</v>
      </c>
    </row>
    <row r="21" spans="2:9" x14ac:dyDescent="0.2">
      <c r="B21" s="120" t="s">
        <v>213</v>
      </c>
      <c r="C21" s="48">
        <f>-437500*-1</f>
        <v>437500</v>
      </c>
      <c r="D21" s="48"/>
      <c r="E21" s="48">
        <f>-87500*-1</f>
        <v>87500</v>
      </c>
      <c r="F21" s="48">
        <f>-8750.00000000001*-1</f>
        <v>8750.0000000000091</v>
      </c>
      <c r="G21" s="48">
        <f>-437.500000000002*-1</f>
        <v>437.50000000000199</v>
      </c>
    </row>
    <row r="22" spans="2:9" ht="13.5" thickBot="1" x14ac:dyDescent="0.25">
      <c r="I22" s="47"/>
    </row>
    <row r="23" spans="2:9" x14ac:dyDescent="0.2">
      <c r="B23" s="109"/>
      <c r="C23" s="109">
        <v>5</v>
      </c>
      <c r="D23" s="109">
        <v>6</v>
      </c>
      <c r="E23" s="109">
        <v>7</v>
      </c>
      <c r="F23" s="109">
        <v>8</v>
      </c>
      <c r="G23" s="109">
        <v>9</v>
      </c>
      <c r="H23" s="109">
        <v>10</v>
      </c>
      <c r="I23" s="47"/>
    </row>
    <row r="24" spans="2:9" x14ac:dyDescent="0.2">
      <c r="B24" s="119" t="s">
        <v>210</v>
      </c>
      <c r="C24" s="101">
        <v>0.05</v>
      </c>
      <c r="D24" s="101">
        <v>0.05</v>
      </c>
      <c r="E24" s="101">
        <v>0.05</v>
      </c>
      <c r="F24" s="101">
        <v>0</v>
      </c>
      <c r="G24" s="101">
        <v>0</v>
      </c>
      <c r="H24" s="101">
        <v>0</v>
      </c>
      <c r="I24" s="47"/>
    </row>
    <row r="25" spans="2:9" x14ac:dyDescent="0.2">
      <c r="B25" s="120" t="s">
        <v>213</v>
      </c>
      <c r="C25" s="48">
        <f>-21.8750000000001*-1</f>
        <v>21.875000000000099</v>
      </c>
      <c r="D25" s="48">
        <f>-1.09375000000001*-1</f>
        <v>1.09375000000001</v>
      </c>
      <c r="E25" s="48">
        <f>-0.0546875000000004*-1</f>
        <v>5.4687500000000402E-2</v>
      </c>
      <c r="F25" s="48">
        <v>0</v>
      </c>
      <c r="G25" s="48">
        <v>0</v>
      </c>
      <c r="H25" s="48">
        <v>0</v>
      </c>
      <c r="I25" s="47"/>
    </row>
    <row r="26" spans="2:9" x14ac:dyDescent="0.2">
      <c r="I26" s="47"/>
    </row>
    <row r="27" spans="2:9" x14ac:dyDescent="0.2">
      <c r="I27" s="47"/>
    </row>
    <row r="28" spans="2:9" x14ac:dyDescent="0.2">
      <c r="B28" s="45" t="s">
        <v>74</v>
      </c>
    </row>
    <row r="29" spans="2:9" ht="13.5" thickBot="1" x14ac:dyDescent="0.25"/>
    <row r="30" spans="2:9" ht="24.75" customHeight="1" thickBot="1" x14ac:dyDescent="0.25">
      <c r="B30" s="225" t="s">
        <v>80</v>
      </c>
      <c r="C30" s="226" t="s">
        <v>81</v>
      </c>
      <c r="D30" s="226" t="s">
        <v>72</v>
      </c>
      <c r="E30" s="227" t="s">
        <v>82</v>
      </c>
      <c r="F30" s="230" t="s">
        <v>85</v>
      </c>
      <c r="G30" s="231" t="s">
        <v>83</v>
      </c>
      <c r="H30" s="231" t="s">
        <v>84</v>
      </c>
    </row>
    <row r="31" spans="2:9" x14ac:dyDescent="0.2">
      <c r="B31" s="221" t="s">
        <v>75</v>
      </c>
      <c r="C31" s="222">
        <v>1</v>
      </c>
      <c r="D31" s="223">
        <f>35000</f>
        <v>35000</v>
      </c>
      <c r="E31" s="224">
        <f>D31*C31</f>
        <v>35000</v>
      </c>
      <c r="F31" s="107">
        <v>10</v>
      </c>
      <c r="G31" s="107">
        <v>0</v>
      </c>
      <c r="H31" s="107">
        <f>5000*3.4</f>
        <v>17000</v>
      </c>
    </row>
    <row r="32" spans="2:9" x14ac:dyDescent="0.2">
      <c r="B32" s="61" t="s">
        <v>76</v>
      </c>
      <c r="C32" s="48">
        <v>1</v>
      </c>
      <c r="D32" s="218">
        <v>2500</v>
      </c>
      <c r="E32" s="219">
        <f t="shared" ref="E32:E35" si="0">D32*C32</f>
        <v>2500</v>
      </c>
      <c r="F32" s="107">
        <v>5</v>
      </c>
      <c r="G32" s="107">
        <v>0</v>
      </c>
      <c r="H32" s="107">
        <v>500</v>
      </c>
    </row>
    <row r="33" spans="2:13" x14ac:dyDescent="0.2">
      <c r="B33" s="61" t="s">
        <v>77</v>
      </c>
      <c r="C33" s="48">
        <v>1</v>
      </c>
      <c r="D33" s="218">
        <f>300*3.4</f>
        <v>1020</v>
      </c>
      <c r="E33" s="219">
        <f t="shared" si="0"/>
        <v>1020</v>
      </c>
      <c r="F33" s="107">
        <v>10</v>
      </c>
      <c r="G33" s="107">
        <v>0</v>
      </c>
      <c r="H33" s="107">
        <v>0</v>
      </c>
      <c r="M33" s="45">
        <v>0.2</v>
      </c>
    </row>
    <row r="34" spans="2:13" x14ac:dyDescent="0.2">
      <c r="B34" s="61" t="s">
        <v>78</v>
      </c>
      <c r="C34" s="48">
        <v>3</v>
      </c>
      <c r="D34" s="218">
        <v>700</v>
      </c>
      <c r="E34" s="219">
        <f t="shared" si="0"/>
        <v>2100</v>
      </c>
      <c r="F34" s="107">
        <v>5</v>
      </c>
      <c r="G34" s="107">
        <v>0</v>
      </c>
      <c r="H34" s="107">
        <v>0</v>
      </c>
      <c r="M34" s="45">
        <v>0.1</v>
      </c>
    </row>
    <row r="35" spans="2:13" ht="13.5" thickBot="1" x14ac:dyDescent="0.25">
      <c r="B35" s="61" t="s">
        <v>79</v>
      </c>
      <c r="C35" s="48">
        <v>3</v>
      </c>
      <c r="D35" s="218">
        <v>800</v>
      </c>
      <c r="E35" s="220">
        <f t="shared" si="0"/>
        <v>2400</v>
      </c>
      <c r="F35" s="107">
        <v>10</v>
      </c>
      <c r="G35" s="107">
        <v>0</v>
      </c>
      <c r="H35" s="107">
        <f>100*3.4</f>
        <v>340</v>
      </c>
      <c r="M35" s="45">
        <v>0.05</v>
      </c>
    </row>
    <row r="36" spans="2:13" ht="13.5" thickBot="1" x14ac:dyDescent="0.25">
      <c r="B36" s="228" t="s">
        <v>68</v>
      </c>
      <c r="C36" s="229"/>
      <c r="D36" s="229"/>
      <c r="E36" s="232">
        <f>SUM(E31:E35)</f>
        <v>43020</v>
      </c>
      <c r="M36" s="45">
        <v>0.05</v>
      </c>
    </row>
    <row r="37" spans="2:13" x14ac:dyDescent="0.2">
      <c r="M37" s="45">
        <v>0.05</v>
      </c>
    </row>
    <row r="38" spans="2:13" x14ac:dyDescent="0.2">
      <c r="B38" s="45" t="s">
        <v>86</v>
      </c>
      <c r="G38" s="45" t="s">
        <v>221</v>
      </c>
      <c r="L38" s="45" t="s">
        <v>222</v>
      </c>
      <c r="M38" s="45">
        <v>0.05</v>
      </c>
    </row>
    <row r="39" spans="2:13" ht="13.5" thickBot="1" x14ac:dyDescent="0.25">
      <c r="M39" s="45">
        <v>0</v>
      </c>
    </row>
    <row r="40" spans="2:13" ht="29.25" customHeight="1" thickBot="1" x14ac:dyDescent="0.25">
      <c r="B40" s="252" t="s">
        <v>90</v>
      </c>
      <c r="C40" s="253" t="s">
        <v>91</v>
      </c>
      <c r="D40" s="253" t="s">
        <v>81</v>
      </c>
      <c r="E40" s="253" t="s">
        <v>92</v>
      </c>
      <c r="F40" s="254" t="s">
        <v>93</v>
      </c>
      <c r="G40" s="50" t="s">
        <v>85</v>
      </c>
      <c r="H40" s="51" t="s">
        <v>83</v>
      </c>
      <c r="I40" s="54" t="s">
        <v>84</v>
      </c>
      <c r="M40" s="45">
        <v>0</v>
      </c>
    </row>
    <row r="41" spans="2:13" ht="15" x14ac:dyDescent="0.25">
      <c r="B41" s="256" t="s">
        <v>89</v>
      </c>
      <c r="C41" s="255" t="s">
        <v>94</v>
      </c>
      <c r="D41" s="249">
        <v>2</v>
      </c>
      <c r="E41" s="250">
        <v>1800</v>
      </c>
      <c r="F41" s="251">
        <f>E41*D41</f>
        <v>3600</v>
      </c>
      <c r="G41" s="52">
        <v>5</v>
      </c>
      <c r="H41" s="48">
        <v>0</v>
      </c>
      <c r="I41" s="53">
        <v>510</v>
      </c>
      <c r="M41" s="45">
        <v>0</v>
      </c>
    </row>
    <row r="42" spans="2:13" ht="15" x14ac:dyDescent="0.25">
      <c r="B42" s="113" t="s">
        <v>87</v>
      </c>
      <c r="C42" s="66" t="s">
        <v>95</v>
      </c>
      <c r="D42" s="128">
        <v>1</v>
      </c>
      <c r="E42" s="233">
        <v>2500</v>
      </c>
      <c r="F42" s="234">
        <f t="shared" ref="F42:F49" si="1">E42*D42</f>
        <v>2500</v>
      </c>
      <c r="G42" s="52">
        <v>5</v>
      </c>
      <c r="H42" s="48">
        <v>0</v>
      </c>
      <c r="I42" s="53">
        <v>850</v>
      </c>
    </row>
    <row r="43" spans="2:13" ht="15" x14ac:dyDescent="0.25">
      <c r="B43" s="113" t="s">
        <v>88</v>
      </c>
      <c r="C43" s="66" t="s">
        <v>54</v>
      </c>
      <c r="D43" s="128">
        <v>3</v>
      </c>
      <c r="E43" s="233">
        <v>1500</v>
      </c>
      <c r="F43" s="234">
        <f t="shared" si="1"/>
        <v>4500</v>
      </c>
      <c r="G43" s="52">
        <v>5</v>
      </c>
      <c r="H43" s="48">
        <v>0</v>
      </c>
      <c r="I43" s="53">
        <v>680</v>
      </c>
    </row>
    <row r="44" spans="2:13" ht="15" x14ac:dyDescent="0.25">
      <c r="B44" s="235" t="s">
        <v>96</v>
      </c>
      <c r="C44" s="71" t="s">
        <v>100</v>
      </c>
      <c r="D44" s="247">
        <v>1</v>
      </c>
      <c r="E44" s="236">
        <v>3000</v>
      </c>
      <c r="F44" s="234">
        <f t="shared" si="1"/>
        <v>3000</v>
      </c>
      <c r="G44" s="55">
        <v>10</v>
      </c>
      <c r="H44" s="56">
        <v>0</v>
      </c>
      <c r="I44" s="57">
        <v>510</v>
      </c>
    </row>
    <row r="45" spans="2:13" ht="15" x14ac:dyDescent="0.25">
      <c r="B45" s="235" t="s">
        <v>97</v>
      </c>
      <c r="C45" s="71" t="s">
        <v>165</v>
      </c>
      <c r="D45" s="128">
        <v>3</v>
      </c>
      <c r="E45" s="236">
        <v>600</v>
      </c>
      <c r="F45" s="234">
        <v>2000</v>
      </c>
      <c r="G45" s="55">
        <v>10</v>
      </c>
      <c r="H45" s="56">
        <v>0</v>
      </c>
      <c r="I45" s="57">
        <v>510</v>
      </c>
    </row>
    <row r="46" spans="2:13" ht="15" x14ac:dyDescent="0.25">
      <c r="B46" s="235" t="s">
        <v>97</v>
      </c>
      <c r="C46" s="71" t="s">
        <v>54</v>
      </c>
      <c r="D46" s="128">
        <v>4</v>
      </c>
      <c r="E46" s="236">
        <v>500</v>
      </c>
      <c r="F46" s="234">
        <f t="shared" si="1"/>
        <v>2000</v>
      </c>
      <c r="G46" s="55">
        <v>10</v>
      </c>
      <c r="H46" s="56">
        <v>0</v>
      </c>
      <c r="I46" s="57">
        <v>510</v>
      </c>
    </row>
    <row r="47" spans="2:13" ht="15" x14ac:dyDescent="0.25">
      <c r="B47" s="235" t="s">
        <v>226</v>
      </c>
      <c r="C47" s="71" t="s">
        <v>101</v>
      </c>
      <c r="D47" s="128">
        <v>1</v>
      </c>
      <c r="E47" s="236">
        <v>250</v>
      </c>
      <c r="F47" s="234">
        <f>E47*D47</f>
        <v>250</v>
      </c>
      <c r="G47" s="124"/>
      <c r="H47" s="125"/>
      <c r="I47" s="126"/>
    </row>
    <row r="48" spans="2:13" ht="15" x14ac:dyDescent="0.25">
      <c r="B48" s="235" t="s">
        <v>223</v>
      </c>
      <c r="C48" s="71" t="s">
        <v>101</v>
      </c>
      <c r="D48" s="128">
        <v>8</v>
      </c>
      <c r="E48" s="236">
        <v>50</v>
      </c>
      <c r="F48" s="234">
        <f t="shared" si="1"/>
        <v>400</v>
      </c>
      <c r="G48" s="55">
        <v>10</v>
      </c>
      <c r="H48" s="56">
        <v>0</v>
      </c>
      <c r="I48" s="57">
        <v>0</v>
      </c>
    </row>
    <row r="49" spans="2:14" ht="15.75" thickBot="1" x14ac:dyDescent="0.3">
      <c r="B49" s="237" t="s">
        <v>99</v>
      </c>
      <c r="C49" s="238" t="s">
        <v>100</v>
      </c>
      <c r="D49" s="248">
        <v>5</v>
      </c>
      <c r="E49" s="239">
        <v>350</v>
      </c>
      <c r="F49" s="240">
        <f t="shared" si="1"/>
        <v>1750</v>
      </c>
      <c r="G49" s="58">
        <v>10</v>
      </c>
      <c r="H49" s="59">
        <v>0</v>
      </c>
      <c r="I49" s="60">
        <v>0</v>
      </c>
    </row>
    <row r="50" spans="2:14" ht="15.75" thickBot="1" x14ac:dyDescent="0.3">
      <c r="B50" s="241" t="s">
        <v>68</v>
      </c>
      <c r="C50" s="242"/>
      <c r="D50" s="243"/>
      <c r="E50" s="242"/>
      <c r="F50" s="244">
        <f>SUM(Tabla4[VALOR TOTAL])</f>
        <v>20000</v>
      </c>
      <c r="G50" s="58"/>
      <c r="H50" s="59"/>
      <c r="I50" s="60"/>
    </row>
    <row r="51" spans="2:14" x14ac:dyDescent="0.2">
      <c r="B51" s="106"/>
      <c r="C51" s="106"/>
      <c r="D51" s="107"/>
      <c r="E51" s="106"/>
      <c r="F51" s="107"/>
      <c r="G51" s="106"/>
      <c r="H51" s="106"/>
      <c r="I51" s="106"/>
    </row>
    <row r="52" spans="2:14" x14ac:dyDescent="0.2">
      <c r="B52" s="106" t="s">
        <v>158</v>
      </c>
      <c r="C52" s="106"/>
      <c r="D52" s="107"/>
      <c r="E52" s="106"/>
      <c r="F52" s="107"/>
      <c r="G52" s="106"/>
      <c r="H52" s="106"/>
      <c r="I52" s="106"/>
    </row>
    <row r="53" spans="2:14" ht="13.5" thickBot="1" x14ac:dyDescent="0.25"/>
    <row r="54" spans="2:14" ht="15" customHeight="1" x14ac:dyDescent="0.2">
      <c r="B54" s="109" t="s">
        <v>211</v>
      </c>
      <c r="C54" s="109" t="s">
        <v>161</v>
      </c>
      <c r="D54" s="110" t="s">
        <v>162</v>
      </c>
      <c r="E54" s="111"/>
      <c r="F54" s="111"/>
      <c r="G54" s="111"/>
      <c r="H54" s="111"/>
      <c r="I54" s="111"/>
      <c r="J54" s="111"/>
      <c r="K54" s="111"/>
      <c r="L54" s="111"/>
      <c r="M54" s="111"/>
      <c r="N54" s="112"/>
    </row>
    <row r="55" spans="2:14" x14ac:dyDescent="0.2">
      <c r="B55" s="61"/>
      <c r="C55" s="48"/>
      <c r="D55" s="48"/>
      <c r="E55" s="48">
        <v>1</v>
      </c>
      <c r="F55" s="48">
        <v>2</v>
      </c>
      <c r="G55" s="48">
        <v>3</v>
      </c>
      <c r="H55" s="48">
        <v>4</v>
      </c>
      <c r="I55" s="105">
        <v>5</v>
      </c>
      <c r="J55" s="61">
        <v>6</v>
      </c>
      <c r="K55" s="48">
        <v>7</v>
      </c>
      <c r="L55" s="48">
        <v>8</v>
      </c>
      <c r="M55" s="48">
        <v>9</v>
      </c>
      <c r="N55" s="48">
        <v>10</v>
      </c>
    </row>
    <row r="56" spans="2:14" x14ac:dyDescent="0.2">
      <c r="B56" s="103" t="s">
        <v>76</v>
      </c>
      <c r="C56" s="101">
        <v>2500</v>
      </c>
      <c r="D56" s="101">
        <v>5</v>
      </c>
      <c r="E56" s="101">
        <f>C56/D56</f>
        <v>500</v>
      </c>
      <c r="F56" s="101">
        <v>500</v>
      </c>
      <c r="G56" s="101">
        <v>500</v>
      </c>
      <c r="H56" s="101">
        <v>500</v>
      </c>
      <c r="I56" s="104">
        <v>500</v>
      </c>
      <c r="J56" s="103">
        <v>500</v>
      </c>
      <c r="K56" s="101">
        <v>500</v>
      </c>
      <c r="L56" s="101">
        <v>500</v>
      </c>
      <c r="M56" s="101">
        <v>500</v>
      </c>
      <c r="N56" s="101">
        <v>500</v>
      </c>
    </row>
    <row r="57" spans="2:14" x14ac:dyDescent="0.2">
      <c r="B57" s="61" t="s">
        <v>77</v>
      </c>
      <c r="C57" s="48">
        <v>1020</v>
      </c>
      <c r="D57" s="48">
        <v>10</v>
      </c>
      <c r="E57" s="48">
        <f t="shared" ref="E57:E79" si="2">C57/D57</f>
        <v>102</v>
      </c>
      <c r="F57" s="48">
        <v>102</v>
      </c>
      <c r="G57" s="48">
        <v>102</v>
      </c>
      <c r="H57" s="48">
        <v>102</v>
      </c>
      <c r="I57" s="105">
        <v>102</v>
      </c>
      <c r="J57" s="61">
        <v>102</v>
      </c>
      <c r="K57" s="48">
        <v>102</v>
      </c>
      <c r="L57" s="48">
        <v>102</v>
      </c>
      <c r="M57" s="48">
        <v>102</v>
      </c>
      <c r="N57" s="48">
        <v>102</v>
      </c>
    </row>
    <row r="58" spans="2:14" x14ac:dyDescent="0.2">
      <c r="B58" s="103" t="s">
        <v>78</v>
      </c>
      <c r="C58" s="101">
        <v>2100</v>
      </c>
      <c r="D58" s="101">
        <v>5</v>
      </c>
      <c r="E58" s="101">
        <f t="shared" si="2"/>
        <v>420</v>
      </c>
      <c r="F58" s="101">
        <v>420</v>
      </c>
      <c r="G58" s="101">
        <v>420</v>
      </c>
      <c r="H58" s="101">
        <v>420</v>
      </c>
      <c r="I58" s="101">
        <v>420</v>
      </c>
      <c r="J58" s="103">
        <v>420</v>
      </c>
      <c r="K58" s="101">
        <v>420</v>
      </c>
      <c r="L58" s="101">
        <v>420</v>
      </c>
      <c r="M58" s="101">
        <v>420</v>
      </c>
      <c r="N58" s="101">
        <v>420</v>
      </c>
    </row>
    <row r="59" spans="2:14" x14ac:dyDescent="0.2">
      <c r="B59" s="61" t="s">
        <v>79</v>
      </c>
      <c r="C59" s="48">
        <v>2400</v>
      </c>
      <c r="D59" s="48">
        <v>10</v>
      </c>
      <c r="E59" s="48">
        <f t="shared" si="2"/>
        <v>240</v>
      </c>
      <c r="F59" s="48">
        <v>240</v>
      </c>
      <c r="G59" s="48">
        <v>240</v>
      </c>
      <c r="H59" s="48">
        <v>240</v>
      </c>
      <c r="I59" s="105">
        <v>240</v>
      </c>
      <c r="J59" s="61">
        <v>240</v>
      </c>
      <c r="K59" s="48">
        <v>240</v>
      </c>
      <c r="L59" s="48">
        <v>240</v>
      </c>
      <c r="M59" s="48">
        <v>240</v>
      </c>
      <c r="N59" s="48">
        <v>240</v>
      </c>
    </row>
    <row r="60" spans="2:14" x14ac:dyDescent="0.2">
      <c r="B60" s="103" t="s">
        <v>68</v>
      </c>
      <c r="C60" s="101"/>
      <c r="D60" s="101"/>
      <c r="E60" s="101">
        <f>SUM(E56:E59)</f>
        <v>1262</v>
      </c>
      <c r="F60" s="101">
        <f t="shared" ref="F60:N60" si="3">SUM(F56:F59)</f>
        <v>1262</v>
      </c>
      <c r="G60" s="101">
        <f t="shared" si="3"/>
        <v>1262</v>
      </c>
      <c r="H60" s="101">
        <f t="shared" si="3"/>
        <v>1262</v>
      </c>
      <c r="I60" s="104">
        <f t="shared" si="3"/>
        <v>1262</v>
      </c>
      <c r="J60" s="103">
        <f t="shared" si="3"/>
        <v>1262</v>
      </c>
      <c r="K60" s="101">
        <f t="shared" si="3"/>
        <v>1262</v>
      </c>
      <c r="L60" s="101">
        <f t="shared" si="3"/>
        <v>1262</v>
      </c>
      <c r="M60" s="101">
        <f t="shared" si="3"/>
        <v>1262</v>
      </c>
      <c r="N60" s="101">
        <f t="shared" si="3"/>
        <v>1262</v>
      </c>
    </row>
    <row r="61" spans="2:14" x14ac:dyDescent="0.2">
      <c r="B61" s="120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</row>
    <row r="62" spans="2:14" x14ac:dyDescent="0.2">
      <c r="B62" s="119" t="s">
        <v>163</v>
      </c>
      <c r="C62" s="101">
        <f>SUM(C56:C59)</f>
        <v>8020</v>
      </c>
      <c r="D62" s="101"/>
      <c r="E62" s="101"/>
      <c r="F62" s="101"/>
      <c r="G62" s="101"/>
      <c r="H62" s="101"/>
      <c r="I62" s="101"/>
      <c r="J62" s="101">
        <v>4600</v>
      </c>
      <c r="K62" s="101"/>
      <c r="L62" s="101"/>
      <c r="M62" s="101"/>
      <c r="N62" s="101"/>
    </row>
    <row r="63" spans="2:14" x14ac:dyDescent="0.2">
      <c r="B63" s="121" t="s">
        <v>164</v>
      </c>
      <c r="C63" s="122"/>
      <c r="D63" s="122"/>
      <c r="E63" s="122"/>
      <c r="F63" s="122"/>
      <c r="G63" s="122"/>
      <c r="H63" s="122"/>
      <c r="I63" s="122">
        <v>500</v>
      </c>
      <c r="J63" s="122"/>
      <c r="K63" s="122"/>
      <c r="L63" s="122"/>
      <c r="M63" s="122"/>
      <c r="N63" s="122">
        <v>840</v>
      </c>
    </row>
    <row r="64" spans="2:14" x14ac:dyDescent="0.2">
      <c r="B64" s="108"/>
      <c r="C64" s="108"/>
      <c r="D64" s="108"/>
      <c r="E64" s="108"/>
      <c r="F64" s="108"/>
      <c r="G64" s="108"/>
      <c r="H64" s="108"/>
      <c r="I64" s="108"/>
      <c r="J64" s="108"/>
      <c r="K64" s="108"/>
      <c r="L64" s="108"/>
      <c r="M64" s="108"/>
      <c r="N64" s="108"/>
    </row>
    <row r="66" spans="2:14" x14ac:dyDescent="0.2">
      <c r="E66" s="45">
        <f>E60*-1</f>
        <v>-1262</v>
      </c>
      <c r="F66" s="45">
        <f t="shared" ref="F66:N66" si="4">F60*-1</f>
        <v>-1262</v>
      </c>
      <c r="G66" s="45">
        <f t="shared" si="4"/>
        <v>-1262</v>
      </c>
      <c r="H66" s="45">
        <f t="shared" si="4"/>
        <v>-1262</v>
      </c>
      <c r="I66" s="45">
        <f t="shared" si="4"/>
        <v>-1262</v>
      </c>
      <c r="J66" s="45">
        <f t="shared" si="4"/>
        <v>-1262</v>
      </c>
      <c r="K66" s="45">
        <f t="shared" si="4"/>
        <v>-1262</v>
      </c>
      <c r="L66" s="45">
        <f t="shared" si="4"/>
        <v>-1262</v>
      </c>
      <c r="M66" s="45">
        <f t="shared" si="4"/>
        <v>-1262</v>
      </c>
      <c r="N66" s="45">
        <f t="shared" si="4"/>
        <v>-1262</v>
      </c>
    </row>
    <row r="67" spans="2:14" x14ac:dyDescent="0.2">
      <c r="B67" s="45" t="s">
        <v>159</v>
      </c>
    </row>
    <row r="68" spans="2:14" ht="13.5" thickBot="1" x14ac:dyDescent="0.25"/>
    <row r="69" spans="2:14" ht="15" customHeight="1" x14ac:dyDescent="0.2">
      <c r="B69" s="109" t="s">
        <v>212</v>
      </c>
      <c r="C69" s="109" t="s">
        <v>161</v>
      </c>
      <c r="D69" s="110" t="s">
        <v>162</v>
      </c>
      <c r="E69" s="111"/>
      <c r="F69" s="111"/>
      <c r="G69" s="111"/>
      <c r="H69" s="111"/>
      <c r="I69" s="111"/>
      <c r="J69" s="111"/>
      <c r="K69" s="111"/>
      <c r="L69" s="111"/>
      <c r="M69" s="111"/>
      <c r="N69" s="112"/>
    </row>
    <row r="70" spans="2:14" x14ac:dyDescent="0.2">
      <c r="B70" s="61"/>
      <c r="C70" s="48"/>
      <c r="D70" s="61"/>
      <c r="E70" s="48">
        <v>1</v>
      </c>
      <c r="F70" s="61">
        <v>2</v>
      </c>
      <c r="G70" s="48">
        <v>3</v>
      </c>
      <c r="H70" s="61">
        <v>4</v>
      </c>
      <c r="I70" s="48">
        <v>5</v>
      </c>
      <c r="J70" s="61">
        <v>6</v>
      </c>
      <c r="K70" s="48">
        <v>7</v>
      </c>
      <c r="L70" s="61">
        <v>8</v>
      </c>
      <c r="M70" s="48">
        <v>9</v>
      </c>
      <c r="N70" s="61">
        <v>10</v>
      </c>
    </row>
    <row r="71" spans="2:14" x14ac:dyDescent="0.2">
      <c r="B71" s="103" t="s">
        <v>89</v>
      </c>
      <c r="C71" s="101">
        <v>3600</v>
      </c>
      <c r="D71" s="103">
        <v>5</v>
      </c>
      <c r="E71" s="101">
        <f t="shared" si="2"/>
        <v>720</v>
      </c>
      <c r="F71" s="103">
        <v>680</v>
      </c>
      <c r="G71" s="101">
        <v>680</v>
      </c>
      <c r="H71" s="103">
        <v>680</v>
      </c>
      <c r="I71" s="101">
        <v>680</v>
      </c>
      <c r="J71" s="103">
        <v>680</v>
      </c>
      <c r="K71" s="101">
        <v>680</v>
      </c>
      <c r="L71" s="103">
        <v>680</v>
      </c>
      <c r="M71" s="101">
        <v>680</v>
      </c>
      <c r="N71" s="103">
        <v>680</v>
      </c>
    </row>
    <row r="72" spans="2:14" x14ac:dyDescent="0.2">
      <c r="B72" s="61" t="s">
        <v>87</v>
      </c>
      <c r="C72" s="48">
        <v>2500</v>
      </c>
      <c r="D72" s="61">
        <v>5</v>
      </c>
      <c r="E72" s="48">
        <f t="shared" si="2"/>
        <v>500</v>
      </c>
      <c r="F72" s="61">
        <v>408</v>
      </c>
      <c r="G72" s="48">
        <v>408</v>
      </c>
      <c r="H72" s="61">
        <v>408</v>
      </c>
      <c r="I72" s="48">
        <v>408</v>
      </c>
      <c r="J72" s="61">
        <v>408</v>
      </c>
      <c r="K72" s="48">
        <v>408</v>
      </c>
      <c r="L72" s="61">
        <v>408</v>
      </c>
      <c r="M72" s="48">
        <v>408</v>
      </c>
      <c r="N72" s="61">
        <v>408</v>
      </c>
    </row>
    <row r="73" spans="2:14" x14ac:dyDescent="0.2">
      <c r="B73" s="103" t="s">
        <v>88</v>
      </c>
      <c r="C73" s="101">
        <v>4500</v>
      </c>
      <c r="D73" s="103">
        <v>5</v>
      </c>
      <c r="E73" s="101">
        <f t="shared" si="2"/>
        <v>900</v>
      </c>
      <c r="F73" s="103">
        <v>544</v>
      </c>
      <c r="G73" s="101">
        <v>544</v>
      </c>
      <c r="H73" s="103">
        <v>544</v>
      </c>
      <c r="I73" s="101">
        <v>544</v>
      </c>
      <c r="J73" s="103">
        <v>544</v>
      </c>
      <c r="K73" s="101">
        <v>544</v>
      </c>
      <c r="L73" s="103">
        <v>544</v>
      </c>
      <c r="M73" s="101">
        <v>544</v>
      </c>
      <c r="N73" s="103">
        <v>544</v>
      </c>
    </row>
    <row r="74" spans="2:14" x14ac:dyDescent="0.2">
      <c r="B74" s="61" t="s">
        <v>96</v>
      </c>
      <c r="C74" s="48">
        <v>3000</v>
      </c>
      <c r="D74" s="61">
        <v>10</v>
      </c>
      <c r="E74" s="48">
        <f t="shared" si="2"/>
        <v>300</v>
      </c>
      <c r="F74" s="61">
        <v>170</v>
      </c>
      <c r="G74" s="48">
        <v>170</v>
      </c>
      <c r="H74" s="61">
        <v>170</v>
      </c>
      <c r="I74" s="48">
        <v>170</v>
      </c>
      <c r="J74" s="61">
        <v>170</v>
      </c>
      <c r="K74" s="48">
        <v>170</v>
      </c>
      <c r="L74" s="61">
        <v>170</v>
      </c>
      <c r="M74" s="48">
        <v>170</v>
      </c>
      <c r="N74" s="61">
        <v>170</v>
      </c>
    </row>
    <row r="75" spans="2:14" x14ac:dyDescent="0.2">
      <c r="B75" s="103" t="s">
        <v>97</v>
      </c>
      <c r="C75" s="101">
        <v>2000</v>
      </c>
      <c r="D75" s="103">
        <v>10</v>
      </c>
      <c r="E75" s="101">
        <f t="shared" si="2"/>
        <v>200</v>
      </c>
      <c r="F75" s="103">
        <v>204</v>
      </c>
      <c r="G75" s="101">
        <v>204</v>
      </c>
      <c r="H75" s="103">
        <v>204</v>
      </c>
      <c r="I75" s="101">
        <v>204</v>
      </c>
      <c r="J75" s="103">
        <v>204</v>
      </c>
      <c r="K75" s="101">
        <v>204</v>
      </c>
      <c r="L75" s="103">
        <v>204</v>
      </c>
      <c r="M75" s="101">
        <v>204</v>
      </c>
      <c r="N75" s="103">
        <v>204</v>
      </c>
    </row>
    <row r="76" spans="2:14" x14ac:dyDescent="0.2">
      <c r="B76" s="61" t="s">
        <v>97</v>
      </c>
      <c r="C76" s="48">
        <v>2000</v>
      </c>
      <c r="D76" s="61">
        <v>10</v>
      </c>
      <c r="E76" s="48">
        <f t="shared" si="2"/>
        <v>200</v>
      </c>
      <c r="F76" s="61">
        <v>102</v>
      </c>
      <c r="G76" s="48">
        <v>102</v>
      </c>
      <c r="H76" s="61">
        <v>102</v>
      </c>
      <c r="I76" s="48">
        <v>102</v>
      </c>
      <c r="J76" s="61">
        <v>102</v>
      </c>
      <c r="K76" s="48">
        <v>102</v>
      </c>
      <c r="L76" s="61">
        <v>102</v>
      </c>
      <c r="M76" s="48">
        <v>102</v>
      </c>
      <c r="N76" s="61">
        <v>102</v>
      </c>
    </row>
    <row r="77" spans="2:14" x14ac:dyDescent="0.2">
      <c r="B77" s="103" t="s">
        <v>98</v>
      </c>
      <c r="C77" s="101">
        <v>250</v>
      </c>
      <c r="D77" s="103">
        <v>10</v>
      </c>
      <c r="E77" s="101">
        <f t="shared" si="2"/>
        <v>25</v>
      </c>
      <c r="F77" s="103">
        <v>34</v>
      </c>
      <c r="G77" s="101">
        <v>34</v>
      </c>
      <c r="H77" s="103">
        <v>34</v>
      </c>
      <c r="I77" s="101">
        <v>34</v>
      </c>
      <c r="J77" s="103">
        <v>34</v>
      </c>
      <c r="K77" s="101">
        <v>34</v>
      </c>
      <c r="L77" s="103">
        <v>34</v>
      </c>
      <c r="M77" s="101">
        <v>34</v>
      </c>
      <c r="N77" s="103">
        <v>34</v>
      </c>
    </row>
    <row r="78" spans="2:14" x14ac:dyDescent="0.2">
      <c r="B78" s="61" t="s">
        <v>223</v>
      </c>
      <c r="C78" s="48">
        <v>400</v>
      </c>
      <c r="D78" s="61">
        <v>10</v>
      </c>
      <c r="E78" s="48">
        <f t="shared" si="2"/>
        <v>40</v>
      </c>
      <c r="F78" s="61">
        <v>85</v>
      </c>
      <c r="G78" s="48">
        <v>85</v>
      </c>
      <c r="H78" s="61">
        <v>85</v>
      </c>
      <c r="I78" s="48">
        <v>85</v>
      </c>
      <c r="J78" s="61">
        <v>85</v>
      </c>
      <c r="K78" s="48">
        <v>85</v>
      </c>
      <c r="L78" s="61">
        <v>85</v>
      </c>
      <c r="M78" s="48">
        <v>85</v>
      </c>
      <c r="N78" s="61">
        <v>85</v>
      </c>
    </row>
    <row r="79" spans="2:14" x14ac:dyDescent="0.2">
      <c r="B79" s="103" t="s">
        <v>99</v>
      </c>
      <c r="C79" s="101">
        <v>1750</v>
      </c>
      <c r="D79" s="103">
        <v>10</v>
      </c>
      <c r="E79" s="101">
        <f t="shared" si="2"/>
        <v>175</v>
      </c>
      <c r="F79" s="103">
        <v>340</v>
      </c>
      <c r="G79" s="101">
        <v>340</v>
      </c>
      <c r="H79" s="103">
        <v>340</v>
      </c>
      <c r="I79" s="101">
        <v>340</v>
      </c>
      <c r="J79" s="103">
        <v>340</v>
      </c>
      <c r="K79" s="101">
        <v>340</v>
      </c>
      <c r="L79" s="103">
        <v>340</v>
      </c>
      <c r="M79" s="101">
        <v>340</v>
      </c>
      <c r="N79" s="103">
        <v>340</v>
      </c>
    </row>
    <row r="80" spans="2:14" x14ac:dyDescent="0.2">
      <c r="B80" s="61" t="s">
        <v>166</v>
      </c>
      <c r="C80" s="48">
        <v>35000</v>
      </c>
      <c r="D80" s="61">
        <v>10</v>
      </c>
      <c r="E80" s="48">
        <f>C80/D80</f>
        <v>3500</v>
      </c>
      <c r="F80" s="61">
        <v>3500</v>
      </c>
      <c r="G80" s="48">
        <v>3500</v>
      </c>
      <c r="H80" s="61">
        <v>3500</v>
      </c>
      <c r="I80" s="48">
        <v>3500</v>
      </c>
      <c r="J80" s="61">
        <v>3500</v>
      </c>
      <c r="K80" s="48">
        <v>3500</v>
      </c>
      <c r="L80" s="61">
        <v>3500</v>
      </c>
      <c r="M80" s="48">
        <v>3500</v>
      </c>
      <c r="N80" s="61">
        <v>3500</v>
      </c>
    </row>
    <row r="81" spans="2:14" x14ac:dyDescent="0.2">
      <c r="B81" s="103" t="s">
        <v>68</v>
      </c>
      <c r="C81" s="101"/>
      <c r="D81" s="103"/>
      <c r="E81" s="101">
        <f>SUM(E71:E80)</f>
        <v>6560</v>
      </c>
      <c r="F81" s="103">
        <f t="shared" ref="F81:M81" si="5">SUM(F71:F80)</f>
        <v>6067</v>
      </c>
      <c r="G81" s="101">
        <f t="shared" si="5"/>
        <v>6067</v>
      </c>
      <c r="H81" s="103">
        <f t="shared" si="5"/>
        <v>6067</v>
      </c>
      <c r="I81" s="101">
        <f t="shared" si="5"/>
        <v>6067</v>
      </c>
      <c r="J81" s="103">
        <f t="shared" si="5"/>
        <v>6067</v>
      </c>
      <c r="K81" s="101">
        <f t="shared" si="5"/>
        <v>6067</v>
      </c>
      <c r="L81" s="103">
        <f t="shared" si="5"/>
        <v>6067</v>
      </c>
      <c r="M81" s="101">
        <f t="shared" si="5"/>
        <v>6067</v>
      </c>
      <c r="N81" s="103">
        <f>SUM(N71:N80)</f>
        <v>6067</v>
      </c>
    </row>
    <row r="82" spans="2:14" x14ac:dyDescent="0.2">
      <c r="B82" s="61"/>
      <c r="C82" s="48"/>
      <c r="D82" s="61"/>
      <c r="E82" s="48"/>
      <c r="F82" s="61"/>
      <c r="G82" s="48"/>
      <c r="H82" s="61"/>
      <c r="I82" s="48"/>
      <c r="J82" s="61"/>
      <c r="K82" s="48"/>
      <c r="L82" s="61"/>
      <c r="M82" s="48"/>
      <c r="N82" s="61"/>
    </row>
    <row r="83" spans="2:14" x14ac:dyDescent="0.2">
      <c r="B83" s="103" t="s">
        <v>163</v>
      </c>
      <c r="C83" s="101">
        <f>SUM(C71:C80)</f>
        <v>55000</v>
      </c>
      <c r="D83" s="103"/>
      <c r="E83" s="101"/>
      <c r="F83" s="103"/>
      <c r="G83" s="101"/>
      <c r="H83" s="103"/>
      <c r="I83" s="101"/>
      <c r="J83" s="103">
        <v>10600</v>
      </c>
      <c r="K83" s="101"/>
      <c r="L83" s="103"/>
      <c r="M83" s="101"/>
      <c r="N83" s="103"/>
    </row>
    <row r="84" spans="2:14" x14ac:dyDescent="0.2">
      <c r="B84" s="123" t="s">
        <v>164</v>
      </c>
      <c r="C84" s="122"/>
      <c r="D84" s="123"/>
      <c r="E84" s="122"/>
      <c r="F84" s="123"/>
      <c r="G84" s="122"/>
      <c r="H84" s="123"/>
      <c r="I84" s="122">
        <v>2040</v>
      </c>
      <c r="J84" s="123"/>
      <c r="K84" s="122"/>
      <c r="L84" s="123"/>
      <c r="M84" s="122"/>
      <c r="N84" s="123">
        <f>17000+3570</f>
        <v>20570</v>
      </c>
    </row>
    <row r="86" spans="2:14" x14ac:dyDescent="0.2">
      <c r="E86" s="45">
        <f>E81*-1</f>
        <v>-6560</v>
      </c>
      <c r="F86" s="45">
        <f t="shared" ref="F86:N86" si="6">F81*-1</f>
        <v>-6067</v>
      </c>
      <c r="G86" s="45">
        <f t="shared" si="6"/>
        <v>-6067</v>
      </c>
      <c r="H86" s="45">
        <f t="shared" si="6"/>
        <v>-6067</v>
      </c>
      <c r="I86" s="45">
        <f t="shared" si="6"/>
        <v>-6067</v>
      </c>
      <c r="J86" s="45">
        <f t="shared" si="6"/>
        <v>-6067</v>
      </c>
      <c r="K86" s="45">
        <f t="shared" si="6"/>
        <v>-6067</v>
      </c>
      <c r="L86" s="45">
        <f t="shared" si="6"/>
        <v>-6067</v>
      </c>
      <c r="M86" s="45">
        <f t="shared" si="6"/>
        <v>-6067</v>
      </c>
      <c r="N86" s="45">
        <f t="shared" si="6"/>
        <v>-6067</v>
      </c>
    </row>
    <row r="87" spans="2:14" ht="13.5" thickBot="1" x14ac:dyDescent="0.25"/>
    <row r="88" spans="2:14" x14ac:dyDescent="0.2">
      <c r="C88" s="109" t="s">
        <v>136</v>
      </c>
      <c r="D88" s="109"/>
    </row>
    <row r="89" spans="2:14" x14ac:dyDescent="0.2">
      <c r="C89" s="61" t="s">
        <v>137</v>
      </c>
      <c r="D89" s="131">
        <v>9400</v>
      </c>
    </row>
    <row r="90" spans="2:14" x14ac:dyDescent="0.2">
      <c r="C90" s="103" t="s">
        <v>229</v>
      </c>
      <c r="D90" s="132">
        <v>8020</v>
      </c>
    </row>
    <row r="91" spans="2:14" x14ac:dyDescent="0.2">
      <c r="C91" s="61" t="s">
        <v>138</v>
      </c>
      <c r="D91" s="131">
        <v>35000</v>
      </c>
    </row>
    <row r="92" spans="2:14" x14ac:dyDescent="0.2">
      <c r="C92" s="103" t="s">
        <v>142</v>
      </c>
      <c r="D92" s="132">
        <v>10600</v>
      </c>
    </row>
    <row r="93" spans="2:14" ht="13.5" thickBot="1" x14ac:dyDescent="0.25">
      <c r="C93" s="61"/>
      <c r="D93" s="131"/>
    </row>
    <row r="94" spans="2:14" x14ac:dyDescent="0.2">
      <c r="C94" s="109" t="s">
        <v>139</v>
      </c>
      <c r="D94" s="133"/>
    </row>
    <row r="95" spans="2:14" x14ac:dyDescent="0.2">
      <c r="C95" s="61" t="s">
        <v>140</v>
      </c>
      <c r="D95" s="131">
        <v>7800</v>
      </c>
    </row>
    <row r="96" spans="2:14" x14ac:dyDescent="0.2">
      <c r="C96" s="103" t="s">
        <v>141</v>
      </c>
      <c r="D96" s="132">
        <v>13000</v>
      </c>
    </row>
    <row r="97" spans="3:4" ht="13.5" thickBot="1" x14ac:dyDescent="0.25">
      <c r="C97" s="61"/>
      <c r="D97" s="131"/>
    </row>
    <row r="98" spans="3:4" x14ac:dyDescent="0.2">
      <c r="C98" s="109" t="s">
        <v>134</v>
      </c>
      <c r="D98" s="134"/>
    </row>
    <row r="99" spans="3:4" ht="13.5" thickBot="1" x14ac:dyDescent="0.25">
      <c r="C99" s="61" t="s">
        <v>181</v>
      </c>
      <c r="D99" s="131">
        <v>437500</v>
      </c>
    </row>
    <row r="100" spans="3:4" x14ac:dyDescent="0.2">
      <c r="C100" s="109" t="s">
        <v>180</v>
      </c>
      <c r="D100" s="310">
        <f>SUM(D89:D99)</f>
        <v>521320</v>
      </c>
    </row>
  </sheetData>
  <mergeCells count="1">
    <mergeCell ref="B3:C3"/>
  </mergeCells>
  <pageMargins left="0.7" right="0.7" top="0.75" bottom="0.75" header="0.3" footer="0.3"/>
  <pageSetup orientation="portrait" horizontalDpi="200" verticalDpi="200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26"/>
  <sheetViews>
    <sheetView topLeftCell="A4" zoomScale="90" zoomScaleNormal="90" workbookViewId="0">
      <selection activeCell="F17" sqref="F17"/>
    </sheetView>
  </sheetViews>
  <sheetFormatPr baseColWidth="10" defaultColWidth="11" defaultRowHeight="15" x14ac:dyDescent="0.25"/>
  <cols>
    <col min="1" max="1" width="3" style="65" customWidth="1"/>
    <col min="2" max="2" width="30" style="65" customWidth="1"/>
    <col min="3" max="3" width="16" style="65" customWidth="1"/>
    <col min="4" max="4" width="12.140625" style="65" customWidth="1"/>
    <col min="5" max="5" width="14.42578125" style="65" customWidth="1"/>
    <col min="6" max="7" width="12.140625" style="65" customWidth="1"/>
    <col min="8" max="8" width="15" style="65" customWidth="1"/>
    <col min="9" max="9" width="15.7109375" style="65" customWidth="1"/>
    <col min="10" max="16384" width="11" style="65"/>
  </cols>
  <sheetData>
    <row r="1" spans="2:9" ht="9" customHeight="1" x14ac:dyDescent="0.25"/>
    <row r="2" spans="2:9" x14ac:dyDescent="0.25">
      <c r="B2" s="65" t="s">
        <v>214</v>
      </c>
    </row>
    <row r="5" spans="2:9" ht="15.75" thickBot="1" x14ac:dyDescent="0.3">
      <c r="B5" s="75" t="s">
        <v>102</v>
      </c>
      <c r="C5" s="76" t="s">
        <v>106</v>
      </c>
      <c r="D5" s="77" t="s">
        <v>107</v>
      </c>
      <c r="E5" s="77" t="s">
        <v>115</v>
      </c>
      <c r="F5" s="77" t="s">
        <v>116</v>
      </c>
      <c r="G5" s="78" t="s">
        <v>117</v>
      </c>
      <c r="H5" s="78" t="s">
        <v>109</v>
      </c>
    </row>
    <row r="6" spans="2:9" x14ac:dyDescent="0.25">
      <c r="B6" s="79" t="s">
        <v>103</v>
      </c>
      <c r="C6" s="85">
        <v>4500</v>
      </c>
      <c r="D6" s="85">
        <f>C6*12</f>
        <v>54000</v>
      </c>
      <c r="E6" s="85">
        <f>C6*2</f>
        <v>9000</v>
      </c>
      <c r="F6" s="85">
        <f>(D6+E6)*0.09</f>
        <v>5670</v>
      </c>
      <c r="G6" s="86">
        <f>(D6+E6)*0.0075</f>
        <v>472.5</v>
      </c>
      <c r="H6" s="87">
        <f>D6+E6+F6+G6</f>
        <v>69142.5</v>
      </c>
    </row>
    <row r="7" spans="2:9" x14ac:dyDescent="0.25">
      <c r="B7" s="80" t="s">
        <v>104</v>
      </c>
      <c r="C7" s="88">
        <v>2000</v>
      </c>
      <c r="D7" s="85">
        <f t="shared" ref="D7:D13" si="0">C7*12</f>
        <v>24000</v>
      </c>
      <c r="E7" s="85">
        <f t="shared" ref="E7:E13" si="1">C7*2</f>
        <v>4000</v>
      </c>
      <c r="F7" s="85">
        <f t="shared" ref="F7:F13" si="2">(D7+E7)*0.09</f>
        <v>2520</v>
      </c>
      <c r="G7" s="86">
        <f t="shared" ref="G7:G13" si="3">(D7+E7)*0.0075</f>
        <v>210</v>
      </c>
      <c r="H7" s="89">
        <f t="shared" ref="H7:H8" si="4">D7+E7+F7+G7</f>
        <v>30730</v>
      </c>
    </row>
    <row r="8" spans="2:9" ht="15.75" thickBot="1" x14ac:dyDescent="0.3">
      <c r="B8" s="81" t="s">
        <v>108</v>
      </c>
      <c r="C8" s="90">
        <v>1500</v>
      </c>
      <c r="D8" s="91">
        <f t="shared" si="0"/>
        <v>18000</v>
      </c>
      <c r="E8" s="91">
        <f t="shared" si="1"/>
        <v>3000</v>
      </c>
      <c r="F8" s="91">
        <f t="shared" si="2"/>
        <v>1890</v>
      </c>
      <c r="G8" s="92">
        <f t="shared" si="3"/>
        <v>157.5</v>
      </c>
      <c r="H8" s="93">
        <f t="shared" si="4"/>
        <v>23047.5</v>
      </c>
      <c r="I8" s="127">
        <f>SUM(H6:H8)</f>
        <v>122920</v>
      </c>
    </row>
    <row r="9" spans="2:9" x14ac:dyDescent="0.25">
      <c r="B9" s="82" t="s">
        <v>217</v>
      </c>
      <c r="C9" s="94">
        <v>1500</v>
      </c>
      <c r="D9" s="94">
        <f t="shared" si="0"/>
        <v>18000</v>
      </c>
      <c r="E9" s="94">
        <f t="shared" si="1"/>
        <v>3000</v>
      </c>
      <c r="F9" s="94">
        <f t="shared" si="2"/>
        <v>1890</v>
      </c>
      <c r="G9" s="95">
        <f t="shared" si="3"/>
        <v>157.5</v>
      </c>
      <c r="H9" s="87">
        <f>(D9+E9+F9+G9)*3</f>
        <v>69142.5</v>
      </c>
    </row>
    <row r="10" spans="2:9" x14ac:dyDescent="0.25">
      <c r="B10" s="80" t="s">
        <v>216</v>
      </c>
      <c r="C10" s="88">
        <v>1200</v>
      </c>
      <c r="D10" s="85">
        <f t="shared" si="0"/>
        <v>14400</v>
      </c>
      <c r="E10" s="85"/>
      <c r="F10" s="85">
        <f t="shared" si="2"/>
        <v>1296</v>
      </c>
      <c r="G10" s="86">
        <f t="shared" si="3"/>
        <v>108</v>
      </c>
      <c r="H10" s="89">
        <f>(D10+E10+F10+G10)*7</f>
        <v>110628</v>
      </c>
    </row>
    <row r="11" spans="2:9" ht="15.75" thickBot="1" x14ac:dyDescent="0.3">
      <c r="B11" s="83" t="s">
        <v>185</v>
      </c>
      <c r="C11" s="90">
        <v>1800</v>
      </c>
      <c r="D11" s="85">
        <f t="shared" si="0"/>
        <v>21600</v>
      </c>
      <c r="E11" s="85">
        <f t="shared" si="1"/>
        <v>3600</v>
      </c>
      <c r="F11" s="85">
        <f t="shared" si="2"/>
        <v>2268</v>
      </c>
      <c r="G11" s="86">
        <f t="shared" si="3"/>
        <v>189</v>
      </c>
      <c r="H11" s="89">
        <f t="shared" ref="H11:H13" si="5">D11+E11+F11+G11</f>
        <v>27657</v>
      </c>
      <c r="I11" s="127">
        <f>SUM(H9:H11)</f>
        <v>207427.5</v>
      </c>
    </row>
    <row r="12" spans="2:9" ht="15.75" thickBot="1" x14ac:dyDescent="0.3">
      <c r="B12" s="80" t="s">
        <v>218</v>
      </c>
      <c r="C12" s="88">
        <v>1500</v>
      </c>
      <c r="D12" s="85">
        <f t="shared" si="0"/>
        <v>18000</v>
      </c>
      <c r="E12" s="85">
        <f t="shared" si="1"/>
        <v>3000</v>
      </c>
      <c r="F12" s="85">
        <f t="shared" si="2"/>
        <v>1890</v>
      </c>
      <c r="G12" s="86">
        <f t="shared" si="3"/>
        <v>157.5</v>
      </c>
      <c r="H12" s="96">
        <f>(D12+E12+F12+G12)*2</f>
        <v>46095</v>
      </c>
    </row>
    <row r="13" spans="2:9" ht="15.75" thickBot="1" x14ac:dyDescent="0.3">
      <c r="B13" s="83" t="s">
        <v>105</v>
      </c>
      <c r="C13" s="90">
        <v>2500</v>
      </c>
      <c r="D13" s="91">
        <f t="shared" si="0"/>
        <v>30000</v>
      </c>
      <c r="E13" s="91">
        <f t="shared" si="1"/>
        <v>5000</v>
      </c>
      <c r="F13" s="91">
        <f t="shared" si="2"/>
        <v>3150</v>
      </c>
      <c r="G13" s="92">
        <f t="shared" si="3"/>
        <v>262.5</v>
      </c>
      <c r="H13" s="97">
        <f t="shared" si="5"/>
        <v>38412.5</v>
      </c>
    </row>
    <row r="14" spans="2:9" x14ac:dyDescent="0.25">
      <c r="B14" s="84" t="s">
        <v>68</v>
      </c>
      <c r="C14" s="98"/>
      <c r="D14" s="99"/>
      <c r="E14" s="99"/>
      <c r="F14" s="99"/>
      <c r="G14" s="99"/>
      <c r="H14" s="100">
        <f>SUM(H6:H13)</f>
        <v>414855</v>
      </c>
    </row>
    <row r="16" spans="2:9" x14ac:dyDescent="0.25">
      <c r="B16" s="65" t="s">
        <v>215</v>
      </c>
    </row>
    <row r="18" spans="2:13" ht="15.75" thickBot="1" x14ac:dyDescent="0.3">
      <c r="B18" s="75" t="s">
        <v>102</v>
      </c>
      <c r="C18" s="76" t="s">
        <v>106</v>
      </c>
      <c r="D18" s="77" t="s">
        <v>107</v>
      </c>
      <c r="E18" s="77" t="s">
        <v>115</v>
      </c>
      <c r="F18" s="77" t="s">
        <v>116</v>
      </c>
      <c r="G18" s="78" t="s">
        <v>117</v>
      </c>
      <c r="H18" s="78" t="s">
        <v>109</v>
      </c>
      <c r="M18" s="65">
        <f>H19+H20+H21</f>
        <v>122920</v>
      </c>
    </row>
    <row r="19" spans="2:13" x14ac:dyDescent="0.25">
      <c r="B19" s="79" t="s">
        <v>103</v>
      </c>
      <c r="C19" s="85">
        <v>4500</v>
      </c>
      <c r="D19" s="85">
        <f>C19*12</f>
        <v>54000</v>
      </c>
      <c r="E19" s="85">
        <f>C19*2</f>
        <v>9000</v>
      </c>
      <c r="F19" s="85">
        <f>(D19+E19)*0.09</f>
        <v>5670</v>
      </c>
      <c r="G19" s="86">
        <f>(D19+E19)*0.0075</f>
        <v>472.5</v>
      </c>
      <c r="H19" s="87">
        <f>D19+E19+F19+G19</f>
        <v>69142.5</v>
      </c>
    </row>
    <row r="20" spans="2:13" x14ac:dyDescent="0.25">
      <c r="B20" s="80" t="s">
        <v>104</v>
      </c>
      <c r="C20" s="88">
        <v>2000</v>
      </c>
      <c r="D20" s="85">
        <f t="shared" ref="D20:D25" si="6">C20*12</f>
        <v>24000</v>
      </c>
      <c r="E20" s="85">
        <f t="shared" ref="E20:E25" si="7">C20*2</f>
        <v>4000</v>
      </c>
      <c r="F20" s="85">
        <f t="shared" ref="F20:F25" si="8">(D20+E20)*0.09</f>
        <v>2520</v>
      </c>
      <c r="G20" s="86">
        <f t="shared" ref="G20:G25" si="9">(D20+E20)*0.0075</f>
        <v>210</v>
      </c>
      <c r="H20" s="89">
        <f t="shared" ref="H20:H25" si="10">D20+E20+F20+G20</f>
        <v>30730</v>
      </c>
      <c r="M20" s="65" t="e">
        <f>H22+#REF!</f>
        <v>#REF!</v>
      </c>
    </row>
    <row r="21" spans="2:13" ht="15.75" thickBot="1" x14ac:dyDescent="0.3">
      <c r="B21" s="81" t="s">
        <v>108</v>
      </c>
      <c r="C21" s="90">
        <v>1500</v>
      </c>
      <c r="D21" s="91">
        <f t="shared" si="6"/>
        <v>18000</v>
      </c>
      <c r="E21" s="91">
        <f t="shared" si="7"/>
        <v>3000</v>
      </c>
      <c r="F21" s="91">
        <f t="shared" si="8"/>
        <v>1890</v>
      </c>
      <c r="G21" s="92">
        <f t="shared" si="9"/>
        <v>157.5</v>
      </c>
      <c r="H21" s="93">
        <f t="shared" si="10"/>
        <v>23047.5</v>
      </c>
    </row>
    <row r="22" spans="2:13" x14ac:dyDescent="0.25">
      <c r="B22" s="82" t="s">
        <v>219</v>
      </c>
      <c r="C22" s="94">
        <v>1500</v>
      </c>
      <c r="D22" s="94">
        <f t="shared" si="6"/>
        <v>18000</v>
      </c>
      <c r="E22" s="94">
        <f t="shared" si="7"/>
        <v>3000</v>
      </c>
      <c r="F22" s="94">
        <f t="shared" si="8"/>
        <v>1890</v>
      </c>
      <c r="G22" s="95">
        <f t="shared" si="9"/>
        <v>157.5</v>
      </c>
      <c r="H22" s="87">
        <f>(D22+E22+F22+G22)*3</f>
        <v>69142.5</v>
      </c>
      <c r="M22" s="65">
        <f>H24+H25</f>
        <v>84507.5</v>
      </c>
    </row>
    <row r="23" spans="2:13" ht="15.75" thickBot="1" x14ac:dyDescent="0.3">
      <c r="B23" s="83" t="s">
        <v>185</v>
      </c>
      <c r="C23" s="90">
        <v>1800</v>
      </c>
      <c r="D23" s="85">
        <f t="shared" si="6"/>
        <v>21600</v>
      </c>
      <c r="E23" s="85">
        <f t="shared" si="7"/>
        <v>3600</v>
      </c>
      <c r="F23" s="85">
        <f t="shared" si="8"/>
        <v>2268</v>
      </c>
      <c r="G23" s="86">
        <f t="shared" si="9"/>
        <v>189</v>
      </c>
      <c r="H23" s="89">
        <f t="shared" si="10"/>
        <v>27657</v>
      </c>
      <c r="I23" s="127">
        <f>SUM(H22:H23)</f>
        <v>96799.5</v>
      </c>
    </row>
    <row r="24" spans="2:13" ht="15.75" thickBot="1" x14ac:dyDescent="0.3">
      <c r="B24" s="80" t="s">
        <v>218</v>
      </c>
      <c r="C24" s="88">
        <v>1500</v>
      </c>
      <c r="D24" s="85">
        <f t="shared" si="6"/>
        <v>18000</v>
      </c>
      <c r="E24" s="85">
        <f t="shared" si="7"/>
        <v>3000</v>
      </c>
      <c r="F24" s="85">
        <f t="shared" si="8"/>
        <v>1890</v>
      </c>
      <c r="G24" s="86">
        <f t="shared" si="9"/>
        <v>157.5</v>
      </c>
      <c r="H24" s="96">
        <f>(D24+E24+F24+G24)*2</f>
        <v>46095</v>
      </c>
    </row>
    <row r="25" spans="2:13" ht="15.75" thickBot="1" x14ac:dyDescent="0.3">
      <c r="B25" s="83" t="s">
        <v>105</v>
      </c>
      <c r="C25" s="90">
        <v>2500</v>
      </c>
      <c r="D25" s="91">
        <f t="shared" si="6"/>
        <v>30000</v>
      </c>
      <c r="E25" s="91">
        <f t="shared" si="7"/>
        <v>5000</v>
      </c>
      <c r="F25" s="91">
        <f t="shared" si="8"/>
        <v>3150</v>
      </c>
      <c r="G25" s="92">
        <f t="shared" si="9"/>
        <v>262.5</v>
      </c>
      <c r="H25" s="97">
        <f t="shared" si="10"/>
        <v>38412.5</v>
      </c>
    </row>
    <row r="26" spans="2:13" x14ac:dyDescent="0.25">
      <c r="B26" s="84" t="s">
        <v>68</v>
      </c>
      <c r="C26" s="98"/>
      <c r="D26" s="99"/>
      <c r="E26" s="99"/>
      <c r="F26" s="99"/>
      <c r="G26" s="99"/>
      <c r="H26" s="100">
        <f>SUM(H19:H25)</f>
        <v>304227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2"/>
  <sheetViews>
    <sheetView workbookViewId="0">
      <selection activeCell="L14" sqref="L14"/>
    </sheetView>
  </sheetViews>
  <sheetFormatPr baseColWidth="10" defaultRowHeight="15" x14ac:dyDescent="0.25"/>
  <cols>
    <col min="1" max="1" width="5.42578125" customWidth="1"/>
    <col min="2" max="2" width="6.5703125" customWidth="1"/>
    <col min="3" max="5" width="12.42578125" customWidth="1"/>
    <col min="6" max="8" width="12.5703125" customWidth="1"/>
    <col min="9" max="9" width="4" customWidth="1"/>
    <col min="10" max="10" width="3" customWidth="1"/>
    <col min="11" max="11" width="2.140625" customWidth="1"/>
    <col min="12" max="12" width="39.5703125" customWidth="1"/>
    <col min="13" max="13" width="4.7109375" customWidth="1"/>
  </cols>
  <sheetData>
    <row r="1" spans="2:14" ht="15.75" thickBot="1" x14ac:dyDescent="0.3"/>
    <row r="2" spans="2:14" ht="15.75" customHeight="1" thickBot="1" x14ac:dyDescent="0.3">
      <c r="B2" s="325" t="s">
        <v>61</v>
      </c>
      <c r="C2" s="326"/>
      <c r="D2" s="326"/>
      <c r="E2" s="326"/>
      <c r="F2" s="326"/>
      <c r="G2" s="326"/>
      <c r="H2" s="327"/>
    </row>
    <row r="3" spans="2:14" ht="53.25" customHeight="1" thickBot="1" x14ac:dyDescent="0.3">
      <c r="B3" s="25" t="s">
        <v>62</v>
      </c>
      <c r="C3" s="26" t="s">
        <v>63</v>
      </c>
      <c r="D3" s="26" t="s">
        <v>64</v>
      </c>
      <c r="E3" s="26" t="s">
        <v>65</v>
      </c>
      <c r="F3" s="26" t="s">
        <v>227</v>
      </c>
      <c r="G3" s="26" t="s">
        <v>66</v>
      </c>
      <c r="H3" s="26" t="s">
        <v>67</v>
      </c>
    </row>
    <row r="4" spans="2:14" ht="15.75" thickBot="1" x14ac:dyDescent="0.3">
      <c r="B4" s="27">
        <v>1</v>
      </c>
      <c r="C4" s="28">
        <v>150</v>
      </c>
      <c r="D4" s="28"/>
      <c r="E4" s="29">
        <v>25000</v>
      </c>
      <c r="F4" s="29">
        <f>C4*E4*0.4</f>
        <v>1500000</v>
      </c>
      <c r="G4" s="29">
        <v>0</v>
      </c>
      <c r="H4" s="30">
        <f>F4+G4</f>
        <v>1500000</v>
      </c>
      <c r="I4" s="38"/>
      <c r="M4">
        <v>1500000</v>
      </c>
      <c r="N4">
        <v>1500000</v>
      </c>
    </row>
    <row r="5" spans="2:14" ht="15.75" thickBot="1" x14ac:dyDescent="0.3">
      <c r="B5" s="25">
        <v>2</v>
      </c>
      <c r="C5" s="41">
        <v>180</v>
      </c>
      <c r="D5" s="31">
        <v>0.2</v>
      </c>
      <c r="E5" s="29">
        <v>25000</v>
      </c>
      <c r="F5" s="29">
        <f>C5*E5*0.4</f>
        <v>1800000</v>
      </c>
      <c r="G5" s="29">
        <f>C4*E4*0.3</f>
        <v>1125000</v>
      </c>
      <c r="H5" s="30">
        <f t="shared" ref="H5:H13" si="0">F5+G5</f>
        <v>2925000</v>
      </c>
      <c r="M5">
        <v>2925000</v>
      </c>
      <c r="N5">
        <v>2925000</v>
      </c>
    </row>
    <row r="6" spans="2:14" ht="15.75" thickBot="1" x14ac:dyDescent="0.3">
      <c r="B6" s="27">
        <v>3</v>
      </c>
      <c r="C6" s="41">
        <v>198</v>
      </c>
      <c r="D6" s="32">
        <v>0.1</v>
      </c>
      <c r="E6" s="29">
        <v>25000</v>
      </c>
      <c r="F6" s="29">
        <f t="shared" ref="F6:F13" si="1">C6*E6*0.4</f>
        <v>1980000</v>
      </c>
      <c r="G6" s="29">
        <f>(C4*E4*0.3)+(C5*E5*0.3)</f>
        <v>2475000</v>
      </c>
      <c r="H6" s="30">
        <f t="shared" si="0"/>
        <v>4455000</v>
      </c>
      <c r="M6">
        <v>4455000</v>
      </c>
      <c r="N6">
        <v>4455000</v>
      </c>
    </row>
    <row r="7" spans="2:14" ht="15.75" thickBot="1" x14ac:dyDescent="0.3">
      <c r="B7" s="25">
        <v>4</v>
      </c>
      <c r="C7" s="41">
        <v>208</v>
      </c>
      <c r="D7" s="31">
        <v>0.05</v>
      </c>
      <c r="E7" s="29">
        <v>25000</v>
      </c>
      <c r="F7" s="29">
        <f t="shared" si="1"/>
        <v>2080000</v>
      </c>
      <c r="G7" s="29">
        <f t="shared" ref="G7:G13" si="2">(C5*E5*0.3)+(C6*E6*0.3)</f>
        <v>2835000</v>
      </c>
      <c r="H7" s="30">
        <f t="shared" si="0"/>
        <v>4915000</v>
      </c>
      <c r="M7">
        <v>4915000</v>
      </c>
      <c r="N7">
        <v>4915000</v>
      </c>
    </row>
    <row r="8" spans="2:14" ht="15.75" thickBot="1" x14ac:dyDescent="0.3">
      <c r="B8" s="27">
        <v>5</v>
      </c>
      <c r="C8" s="41">
        <v>218</v>
      </c>
      <c r="D8" s="32">
        <v>0.05</v>
      </c>
      <c r="E8" s="29">
        <v>25000</v>
      </c>
      <c r="F8" s="29">
        <f t="shared" si="1"/>
        <v>2180000</v>
      </c>
      <c r="G8" s="29">
        <f t="shared" si="2"/>
        <v>3045000</v>
      </c>
      <c r="H8" s="30">
        <f t="shared" si="0"/>
        <v>5225000</v>
      </c>
      <c r="M8">
        <v>5225000</v>
      </c>
      <c r="N8">
        <v>5225000</v>
      </c>
    </row>
    <row r="9" spans="2:14" ht="15.75" thickBot="1" x14ac:dyDescent="0.3">
      <c r="B9" s="25">
        <v>6</v>
      </c>
      <c r="C9" s="41">
        <v>229</v>
      </c>
      <c r="D9" s="31">
        <v>0.05</v>
      </c>
      <c r="E9" s="29">
        <v>25000</v>
      </c>
      <c r="F9" s="29">
        <f t="shared" si="1"/>
        <v>2290000</v>
      </c>
      <c r="G9" s="29">
        <f t="shared" si="2"/>
        <v>3195000</v>
      </c>
      <c r="H9" s="30">
        <f t="shared" si="0"/>
        <v>5485000</v>
      </c>
      <c r="M9">
        <v>5485000</v>
      </c>
      <c r="N9">
        <v>5485000</v>
      </c>
    </row>
    <row r="10" spans="2:14" ht="15.75" thickBot="1" x14ac:dyDescent="0.3">
      <c r="B10" s="27">
        <v>7</v>
      </c>
      <c r="C10" s="41">
        <v>241</v>
      </c>
      <c r="D10" s="32">
        <v>0.05</v>
      </c>
      <c r="E10" s="29">
        <v>25000</v>
      </c>
      <c r="F10" s="29">
        <f t="shared" si="1"/>
        <v>2410000</v>
      </c>
      <c r="G10" s="29">
        <f t="shared" si="2"/>
        <v>3352500</v>
      </c>
      <c r="H10" s="30">
        <f t="shared" si="0"/>
        <v>5762500</v>
      </c>
      <c r="M10">
        <v>5762500</v>
      </c>
      <c r="N10">
        <v>5762500</v>
      </c>
    </row>
    <row r="11" spans="2:14" ht="15.75" thickBot="1" x14ac:dyDescent="0.3">
      <c r="B11" s="25">
        <v>8</v>
      </c>
      <c r="C11" s="41">
        <v>241</v>
      </c>
      <c r="D11" s="31">
        <v>0</v>
      </c>
      <c r="E11" s="29">
        <v>25000</v>
      </c>
      <c r="F11" s="29">
        <f t="shared" si="1"/>
        <v>2410000</v>
      </c>
      <c r="G11" s="29">
        <f t="shared" si="2"/>
        <v>3525000</v>
      </c>
      <c r="H11" s="30">
        <f t="shared" si="0"/>
        <v>5935000</v>
      </c>
      <c r="M11">
        <v>5935000</v>
      </c>
      <c r="N11">
        <v>5935000</v>
      </c>
    </row>
    <row r="12" spans="2:14" ht="15.75" thickBot="1" x14ac:dyDescent="0.3">
      <c r="B12" s="27">
        <v>9</v>
      </c>
      <c r="C12" s="41">
        <v>241</v>
      </c>
      <c r="D12" s="32">
        <v>0</v>
      </c>
      <c r="E12" s="29">
        <v>25000</v>
      </c>
      <c r="F12" s="29">
        <f t="shared" si="1"/>
        <v>2410000</v>
      </c>
      <c r="G12" s="29">
        <f t="shared" si="2"/>
        <v>3615000</v>
      </c>
      <c r="H12" s="30">
        <f t="shared" si="0"/>
        <v>6025000</v>
      </c>
      <c r="M12">
        <v>6025000</v>
      </c>
      <c r="N12">
        <v>6025000</v>
      </c>
    </row>
    <row r="13" spans="2:14" ht="15.75" thickBot="1" x14ac:dyDescent="0.3">
      <c r="B13" s="25">
        <v>10</v>
      </c>
      <c r="C13" s="41">
        <v>241</v>
      </c>
      <c r="D13" s="31">
        <v>0</v>
      </c>
      <c r="E13" s="29">
        <v>25000</v>
      </c>
      <c r="F13" s="29">
        <f t="shared" si="1"/>
        <v>2410000</v>
      </c>
      <c r="G13" s="29">
        <f t="shared" si="2"/>
        <v>3615000</v>
      </c>
      <c r="H13" s="30">
        <f t="shared" si="0"/>
        <v>6025000</v>
      </c>
      <c r="M13">
        <v>6025000</v>
      </c>
      <c r="N13">
        <v>6025000</v>
      </c>
    </row>
    <row r="14" spans="2:14" ht="16.5" customHeight="1" thickBot="1" x14ac:dyDescent="0.3">
      <c r="B14" s="33" t="s">
        <v>68</v>
      </c>
      <c r="C14" s="44">
        <f>SUM(C4:C13)</f>
        <v>2147</v>
      </c>
      <c r="D14" s="34"/>
      <c r="E14" s="34"/>
      <c r="F14" s="35">
        <f>SUM(F4:F13)</f>
        <v>21470000</v>
      </c>
      <c r="G14" s="35">
        <f>SUM(G4:G13)</f>
        <v>26782500</v>
      </c>
      <c r="H14" s="35">
        <f>SUM(H4:H13)</f>
        <v>48252500</v>
      </c>
    </row>
    <row r="15" spans="2:14" ht="15.75" thickBot="1" x14ac:dyDescent="0.3"/>
    <row r="16" spans="2:14" ht="15.75" customHeight="1" thickBot="1" x14ac:dyDescent="0.3">
      <c r="B16" s="325" t="s">
        <v>61</v>
      </c>
      <c r="C16" s="326"/>
      <c r="D16" s="326"/>
      <c r="E16" s="326"/>
      <c r="F16" s="328"/>
    </row>
    <row r="17" spans="2:14" ht="60.75" thickBot="1" x14ac:dyDescent="0.3">
      <c r="B17" s="25" t="s">
        <v>62</v>
      </c>
      <c r="C17" s="26" t="s">
        <v>63</v>
      </c>
      <c r="D17" s="26" t="s">
        <v>64</v>
      </c>
      <c r="E17" s="26" t="s">
        <v>65</v>
      </c>
      <c r="F17" s="26" t="s">
        <v>67</v>
      </c>
    </row>
    <row r="18" spans="2:14" ht="15.75" thickBot="1" x14ac:dyDescent="0.3">
      <c r="B18" s="27">
        <v>1</v>
      </c>
      <c r="C18" s="28">
        <v>150</v>
      </c>
      <c r="D18" s="42"/>
      <c r="E18" s="29">
        <v>25000</v>
      </c>
      <c r="F18" s="30">
        <f>C18*E18</f>
        <v>3750000</v>
      </c>
      <c r="G18" s="37"/>
      <c r="H18" s="37"/>
    </row>
    <row r="19" spans="2:14" ht="15.75" thickBot="1" x14ac:dyDescent="0.3">
      <c r="B19" s="25">
        <v>2</v>
      </c>
      <c r="C19" s="41">
        <v>180</v>
      </c>
      <c r="D19" s="43">
        <v>0.2</v>
      </c>
      <c r="E19" s="29">
        <v>25000</v>
      </c>
      <c r="F19" s="30">
        <f t="shared" ref="F19:F27" si="3">C19*E19</f>
        <v>4500000</v>
      </c>
      <c r="G19" s="37"/>
      <c r="H19" s="37"/>
      <c r="L19">
        <v>2000000</v>
      </c>
      <c r="M19">
        <v>1</v>
      </c>
    </row>
    <row r="20" spans="2:14" ht="15.75" thickBot="1" x14ac:dyDescent="0.3">
      <c r="B20" s="27">
        <v>3</v>
      </c>
      <c r="C20" s="41">
        <v>198</v>
      </c>
      <c r="D20" s="42">
        <v>0.1</v>
      </c>
      <c r="E20" s="29">
        <v>25000</v>
      </c>
      <c r="F20" s="30">
        <f t="shared" si="3"/>
        <v>4950000</v>
      </c>
      <c r="G20" s="37"/>
      <c r="H20" s="37"/>
      <c r="L20" t="s">
        <v>175</v>
      </c>
      <c r="M20">
        <v>2</v>
      </c>
    </row>
    <row r="21" spans="2:14" ht="15.75" thickBot="1" x14ac:dyDescent="0.3">
      <c r="B21" s="25">
        <v>4</v>
      </c>
      <c r="C21" s="41">
        <v>208</v>
      </c>
      <c r="D21" s="43">
        <v>0.05</v>
      </c>
      <c r="E21" s="29">
        <v>25000</v>
      </c>
      <c r="F21" s="30">
        <f t="shared" si="3"/>
        <v>5200000</v>
      </c>
      <c r="G21" s="37"/>
      <c r="H21" s="37"/>
      <c r="L21" t="s">
        <v>176</v>
      </c>
      <c r="M21">
        <v>3</v>
      </c>
    </row>
    <row r="22" spans="2:14" ht="15.75" thickBot="1" x14ac:dyDescent="0.3">
      <c r="B22" s="27">
        <v>5</v>
      </c>
      <c r="C22" s="41">
        <v>218</v>
      </c>
      <c r="D22" s="42">
        <v>0.05</v>
      </c>
      <c r="E22" s="29">
        <v>25000</v>
      </c>
      <c r="F22" s="30">
        <f t="shared" si="3"/>
        <v>5450000</v>
      </c>
      <c r="G22" s="37"/>
      <c r="H22" s="37"/>
      <c r="L22" t="s">
        <v>178</v>
      </c>
      <c r="N22" t="s">
        <v>177</v>
      </c>
    </row>
    <row r="23" spans="2:14" ht="15.75" thickBot="1" x14ac:dyDescent="0.3">
      <c r="B23" s="25">
        <v>6</v>
      </c>
      <c r="C23" s="41">
        <v>229</v>
      </c>
      <c r="D23" s="43">
        <v>0.05</v>
      </c>
      <c r="E23" s="29">
        <v>25000</v>
      </c>
      <c r="F23" s="30">
        <f t="shared" si="3"/>
        <v>5725000</v>
      </c>
      <c r="G23" s="37"/>
      <c r="H23" s="37"/>
      <c r="L23" t="s">
        <v>179</v>
      </c>
    </row>
    <row r="24" spans="2:14" ht="15.75" thickBot="1" x14ac:dyDescent="0.3">
      <c r="B24" s="27">
        <v>7</v>
      </c>
      <c r="C24" s="41">
        <v>241</v>
      </c>
      <c r="D24" s="42">
        <v>0.05</v>
      </c>
      <c r="E24" s="29">
        <v>25000</v>
      </c>
      <c r="F24" s="30">
        <f t="shared" si="3"/>
        <v>6025000</v>
      </c>
      <c r="G24" s="37"/>
      <c r="H24" s="37"/>
    </row>
    <row r="25" spans="2:14" ht="15.75" thickBot="1" x14ac:dyDescent="0.3">
      <c r="B25" s="25">
        <v>8</v>
      </c>
      <c r="C25" s="41">
        <v>241</v>
      </c>
      <c r="D25" s="43">
        <v>0</v>
      </c>
      <c r="E25" s="29">
        <v>25000</v>
      </c>
      <c r="F25" s="30">
        <f t="shared" si="3"/>
        <v>6025000</v>
      </c>
      <c r="G25" s="37"/>
      <c r="H25" s="37"/>
    </row>
    <row r="26" spans="2:14" ht="15.75" thickBot="1" x14ac:dyDescent="0.3">
      <c r="B26" s="27">
        <v>9</v>
      </c>
      <c r="C26" s="41">
        <v>241</v>
      </c>
      <c r="D26" s="42">
        <v>0</v>
      </c>
      <c r="E26" s="29">
        <v>25000</v>
      </c>
      <c r="F26" s="30">
        <f t="shared" si="3"/>
        <v>6025000</v>
      </c>
      <c r="G26" s="37"/>
      <c r="H26" s="37"/>
    </row>
    <row r="27" spans="2:14" ht="15.75" thickBot="1" x14ac:dyDescent="0.3">
      <c r="B27" s="25">
        <v>10</v>
      </c>
      <c r="C27" s="41">
        <v>241</v>
      </c>
      <c r="D27" s="43">
        <v>0</v>
      </c>
      <c r="E27" s="29">
        <v>25000</v>
      </c>
      <c r="F27" s="30">
        <f t="shared" si="3"/>
        <v>6025000</v>
      </c>
      <c r="G27" s="37"/>
      <c r="H27" s="37"/>
    </row>
    <row r="28" spans="2:14" ht="24.75" thickBot="1" x14ac:dyDescent="0.3">
      <c r="B28" s="33" t="s">
        <v>68</v>
      </c>
      <c r="C28" s="44">
        <f>SUM(C18:C27)</f>
        <v>2147</v>
      </c>
      <c r="D28" s="34"/>
      <c r="E28" s="34"/>
      <c r="F28" s="35">
        <f>SUM(F18:F27)</f>
        <v>53675000</v>
      </c>
    </row>
    <row r="33" spans="3:3" x14ac:dyDescent="0.25">
      <c r="C33">
        <v>1875000</v>
      </c>
    </row>
    <row r="34" spans="3:3" x14ac:dyDescent="0.25">
      <c r="C34">
        <v>3187500</v>
      </c>
    </row>
    <row r="35" spans="3:3" x14ac:dyDescent="0.25">
      <c r="C35">
        <v>4537500</v>
      </c>
    </row>
    <row r="36" spans="3:3" x14ac:dyDescent="0.25">
      <c r="C36">
        <v>4962500</v>
      </c>
    </row>
    <row r="37" spans="3:3" x14ac:dyDescent="0.25">
      <c r="C37">
        <v>5262500</v>
      </c>
    </row>
    <row r="38" spans="3:3" x14ac:dyDescent="0.25">
      <c r="C38">
        <v>5525000</v>
      </c>
    </row>
    <row r="39" spans="3:3" x14ac:dyDescent="0.25">
      <c r="C39">
        <v>5806250</v>
      </c>
    </row>
    <row r="40" spans="3:3" x14ac:dyDescent="0.25">
      <c r="C40">
        <v>5950000</v>
      </c>
    </row>
    <row r="41" spans="3:3" x14ac:dyDescent="0.25">
      <c r="C41">
        <v>6025000</v>
      </c>
    </row>
    <row r="42" spans="3:3" x14ac:dyDescent="0.25">
      <c r="C42">
        <v>7531250</v>
      </c>
    </row>
  </sheetData>
  <mergeCells count="2">
    <mergeCell ref="B2:H2"/>
    <mergeCell ref="B16:F16"/>
  </mergeCells>
  <pageMargins left="0.7" right="0.7" top="0.75" bottom="0.75" header="0.3" footer="0.3"/>
  <pageSetup paperSize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0"/>
  <sheetViews>
    <sheetView topLeftCell="A7" workbookViewId="0">
      <selection activeCell="G5" sqref="G5"/>
    </sheetView>
  </sheetViews>
  <sheetFormatPr baseColWidth="10" defaultRowHeight="15" x14ac:dyDescent="0.25"/>
  <cols>
    <col min="1" max="1" width="5.42578125" customWidth="1"/>
    <col min="2" max="2" width="5.7109375" customWidth="1"/>
    <col min="3" max="3" width="8.7109375" customWidth="1"/>
    <col min="4" max="4" width="10.7109375" customWidth="1"/>
    <col min="5" max="5" width="12.140625" customWidth="1"/>
    <col min="6" max="8" width="11.85546875" customWidth="1"/>
    <col min="9" max="9" width="4" customWidth="1"/>
    <col min="10" max="10" width="3" customWidth="1"/>
    <col min="11" max="11" width="2.140625" customWidth="1"/>
    <col min="12" max="12" width="39.5703125" customWidth="1"/>
    <col min="13" max="13" width="4.7109375" customWidth="1"/>
  </cols>
  <sheetData>
    <row r="1" spans="2:9" ht="15.75" thickBot="1" x14ac:dyDescent="0.3"/>
    <row r="2" spans="2:9" ht="15.75" customHeight="1" thickBot="1" x14ac:dyDescent="0.3">
      <c r="B2" s="325" t="s">
        <v>61</v>
      </c>
      <c r="C2" s="326"/>
      <c r="D2" s="326"/>
      <c r="E2" s="326"/>
      <c r="F2" s="326"/>
      <c r="G2" s="326"/>
      <c r="H2" s="327"/>
    </row>
    <row r="3" spans="2:9" ht="53.25" customHeight="1" thickBot="1" x14ac:dyDescent="0.3">
      <c r="B3" s="25" t="s">
        <v>62</v>
      </c>
      <c r="C3" s="26" t="s">
        <v>63</v>
      </c>
      <c r="D3" s="26" t="s">
        <v>64</v>
      </c>
      <c r="E3" s="26" t="s">
        <v>65</v>
      </c>
      <c r="F3" s="26" t="s">
        <v>186</v>
      </c>
      <c r="G3" s="26" t="s">
        <v>66</v>
      </c>
      <c r="H3" s="26" t="s">
        <v>67</v>
      </c>
    </row>
    <row r="4" spans="2:9" ht="15.75" thickBot="1" x14ac:dyDescent="0.3">
      <c r="B4" s="27">
        <v>1</v>
      </c>
      <c r="C4" s="28">
        <v>150</v>
      </c>
      <c r="D4" s="28"/>
      <c r="E4" s="29">
        <v>25000</v>
      </c>
      <c r="F4" s="29">
        <f>(C4*E4*0.5)</f>
        <v>1875000</v>
      </c>
      <c r="G4" s="29">
        <v>0</v>
      </c>
      <c r="H4" s="30">
        <f>F4+G4</f>
        <v>1875000</v>
      </c>
      <c r="I4" s="38"/>
    </row>
    <row r="5" spans="2:9" ht="15.75" thickBot="1" x14ac:dyDescent="0.3">
      <c r="B5" s="25">
        <v>2</v>
      </c>
      <c r="C5" s="41">
        <v>180</v>
      </c>
      <c r="D5" s="31">
        <v>0.2</v>
      </c>
      <c r="E5" s="29">
        <v>25000</v>
      </c>
      <c r="F5" s="29">
        <f t="shared" ref="F5:F13" si="0">(C5*E5*0.5)</f>
        <v>2250000</v>
      </c>
      <c r="G5" s="29">
        <f>(C4*E4*0.25)*1.2</f>
        <v>1125000</v>
      </c>
      <c r="H5" s="30">
        <f t="shared" ref="H5:H13" si="1">F5+G5</f>
        <v>3375000</v>
      </c>
    </row>
    <row r="6" spans="2:9" ht="15.75" thickBot="1" x14ac:dyDescent="0.3">
      <c r="B6" s="27">
        <v>3</v>
      </c>
      <c r="C6" s="41">
        <v>198</v>
      </c>
      <c r="D6" s="32">
        <v>0.1</v>
      </c>
      <c r="E6" s="29">
        <v>25000</v>
      </c>
      <c r="F6" s="29">
        <f t="shared" si="0"/>
        <v>2475000</v>
      </c>
      <c r="G6" s="29">
        <f>((C4*E4*0.25)+(C5*E5*0.25))*1.2</f>
        <v>2475000</v>
      </c>
      <c r="H6" s="30">
        <f t="shared" si="1"/>
        <v>4950000</v>
      </c>
    </row>
    <row r="7" spans="2:9" ht="15.75" thickBot="1" x14ac:dyDescent="0.3">
      <c r="B7" s="25">
        <v>4</v>
      </c>
      <c r="C7" s="41">
        <v>208</v>
      </c>
      <c r="D7" s="31">
        <v>0.05</v>
      </c>
      <c r="E7" s="29">
        <v>25000</v>
      </c>
      <c r="F7" s="29">
        <f t="shared" si="0"/>
        <v>2600000</v>
      </c>
      <c r="G7" s="29">
        <f t="shared" ref="G7:G13" si="2">((C5*E5*0.25)+(C6*E6*0.25))*1.2</f>
        <v>2835000</v>
      </c>
      <c r="H7" s="30">
        <f t="shared" si="1"/>
        <v>5435000</v>
      </c>
    </row>
    <row r="8" spans="2:9" ht="15.75" thickBot="1" x14ac:dyDescent="0.3">
      <c r="B8" s="27">
        <v>5</v>
      </c>
      <c r="C8" s="41">
        <v>218</v>
      </c>
      <c r="D8" s="32">
        <v>0.05</v>
      </c>
      <c r="E8" s="29">
        <v>25000</v>
      </c>
      <c r="F8" s="29">
        <f t="shared" si="0"/>
        <v>2725000</v>
      </c>
      <c r="G8" s="29">
        <f t="shared" si="2"/>
        <v>3045000</v>
      </c>
      <c r="H8" s="30">
        <f t="shared" si="1"/>
        <v>5770000</v>
      </c>
    </row>
    <row r="9" spans="2:9" ht="15.75" thickBot="1" x14ac:dyDescent="0.3">
      <c r="B9" s="25">
        <v>6</v>
      </c>
      <c r="C9" s="41">
        <v>229</v>
      </c>
      <c r="D9" s="31">
        <v>0.05</v>
      </c>
      <c r="E9" s="29">
        <v>25000</v>
      </c>
      <c r="F9" s="29">
        <f t="shared" si="0"/>
        <v>2862500</v>
      </c>
      <c r="G9" s="29">
        <f t="shared" si="2"/>
        <v>3195000</v>
      </c>
      <c r="H9" s="30">
        <f t="shared" si="1"/>
        <v>6057500</v>
      </c>
    </row>
    <row r="10" spans="2:9" ht="15.75" thickBot="1" x14ac:dyDescent="0.3">
      <c r="B10" s="27">
        <v>7</v>
      </c>
      <c r="C10" s="41">
        <v>241</v>
      </c>
      <c r="D10" s="32">
        <v>0.05</v>
      </c>
      <c r="E10" s="29">
        <v>25000</v>
      </c>
      <c r="F10" s="29">
        <f t="shared" si="0"/>
        <v>3012500</v>
      </c>
      <c r="G10" s="29">
        <f t="shared" si="2"/>
        <v>3352500</v>
      </c>
      <c r="H10" s="30">
        <f t="shared" si="1"/>
        <v>6365000</v>
      </c>
    </row>
    <row r="11" spans="2:9" ht="15.75" thickBot="1" x14ac:dyDescent="0.3">
      <c r="B11" s="25">
        <v>8</v>
      </c>
      <c r="C11" s="41">
        <v>241</v>
      </c>
      <c r="D11" s="31">
        <v>0</v>
      </c>
      <c r="E11" s="29">
        <v>25000</v>
      </c>
      <c r="F11" s="29">
        <f t="shared" si="0"/>
        <v>3012500</v>
      </c>
      <c r="G11" s="29">
        <f t="shared" si="2"/>
        <v>3525000</v>
      </c>
      <c r="H11" s="30">
        <f t="shared" si="1"/>
        <v>6537500</v>
      </c>
    </row>
    <row r="12" spans="2:9" ht="15.75" thickBot="1" x14ac:dyDescent="0.3">
      <c r="B12" s="27">
        <v>9</v>
      </c>
      <c r="C12" s="41">
        <v>241</v>
      </c>
      <c r="D12" s="32">
        <v>0</v>
      </c>
      <c r="E12" s="29">
        <v>25000</v>
      </c>
      <c r="F12" s="29">
        <f t="shared" si="0"/>
        <v>3012500</v>
      </c>
      <c r="G12" s="29">
        <f t="shared" si="2"/>
        <v>3615000</v>
      </c>
      <c r="H12" s="30">
        <f t="shared" si="1"/>
        <v>6627500</v>
      </c>
    </row>
    <row r="13" spans="2:9" ht="15.75" thickBot="1" x14ac:dyDescent="0.3">
      <c r="B13" s="25">
        <v>10</v>
      </c>
      <c r="C13" s="41">
        <v>241</v>
      </c>
      <c r="D13" s="31">
        <v>0</v>
      </c>
      <c r="E13" s="29">
        <v>25000</v>
      </c>
      <c r="F13" s="29">
        <f t="shared" si="0"/>
        <v>3012500</v>
      </c>
      <c r="G13" s="29">
        <f t="shared" si="2"/>
        <v>3615000</v>
      </c>
      <c r="H13" s="30">
        <f t="shared" si="1"/>
        <v>6627500</v>
      </c>
    </row>
    <row r="14" spans="2:9" ht="24.75" thickBot="1" x14ac:dyDescent="0.3">
      <c r="B14" s="33" t="s">
        <v>68</v>
      </c>
      <c r="C14" s="44">
        <f>SUM(C4:C13)</f>
        <v>2147</v>
      </c>
      <c r="D14" s="34"/>
      <c r="E14" s="34"/>
      <c r="F14" s="35">
        <f>SUM(F4:F13)</f>
        <v>26837500</v>
      </c>
      <c r="G14" s="35">
        <f>SUM(G4:G13)</f>
        <v>26782500</v>
      </c>
      <c r="H14" s="35">
        <f>SUM(H4:H13)</f>
        <v>53620000</v>
      </c>
    </row>
    <row r="15" spans="2:9" ht="15.75" thickBot="1" x14ac:dyDescent="0.3"/>
    <row r="16" spans="2:9" ht="15.75" customHeight="1" thickBot="1" x14ac:dyDescent="0.3">
      <c r="B16" s="325" t="s">
        <v>61</v>
      </c>
      <c r="C16" s="326"/>
      <c r="D16" s="326"/>
      <c r="E16" s="326"/>
      <c r="F16" s="328"/>
    </row>
    <row r="17" spans="2:14" ht="72.75" thickBot="1" x14ac:dyDescent="0.3">
      <c r="B17" s="25" t="s">
        <v>62</v>
      </c>
      <c r="C17" s="26" t="s">
        <v>63</v>
      </c>
      <c r="D17" s="26" t="s">
        <v>64</v>
      </c>
      <c r="E17" s="26" t="s">
        <v>65</v>
      </c>
      <c r="F17" s="26" t="s">
        <v>67</v>
      </c>
    </row>
    <row r="18" spans="2:14" ht="15.75" thickBot="1" x14ac:dyDescent="0.3">
      <c r="B18" s="27">
        <v>1</v>
      </c>
      <c r="C18" s="28">
        <v>150</v>
      </c>
      <c r="D18" s="42"/>
      <c r="E18" s="29">
        <v>25000</v>
      </c>
      <c r="F18" s="30">
        <f>C18*E18</f>
        <v>3750000</v>
      </c>
      <c r="G18" s="37"/>
      <c r="H18" s="37"/>
    </row>
    <row r="19" spans="2:14" ht="15.75" thickBot="1" x14ac:dyDescent="0.3">
      <c r="B19" s="25">
        <v>2</v>
      </c>
      <c r="C19" s="41">
        <v>180</v>
      </c>
      <c r="D19" s="43">
        <v>0.2</v>
      </c>
      <c r="E19" s="29">
        <v>25000</v>
      </c>
      <c r="F19" s="30">
        <f t="shared" ref="F19:F27" si="3">C19*E19</f>
        <v>4500000</v>
      </c>
      <c r="G19" s="37"/>
      <c r="H19" s="37"/>
      <c r="L19">
        <v>2000000</v>
      </c>
      <c r="M19">
        <v>1</v>
      </c>
    </row>
    <row r="20" spans="2:14" ht="15.75" thickBot="1" x14ac:dyDescent="0.3">
      <c r="B20" s="27">
        <v>3</v>
      </c>
      <c r="C20" s="41">
        <v>198</v>
      </c>
      <c r="D20" s="42">
        <v>0.1</v>
      </c>
      <c r="E20" s="29">
        <v>25000</v>
      </c>
      <c r="F20" s="30">
        <f t="shared" si="3"/>
        <v>4950000</v>
      </c>
      <c r="G20" s="37"/>
      <c r="H20" s="37"/>
      <c r="L20" t="s">
        <v>175</v>
      </c>
      <c r="M20">
        <v>2</v>
      </c>
    </row>
    <row r="21" spans="2:14" ht="15.75" thickBot="1" x14ac:dyDescent="0.3">
      <c r="B21" s="25">
        <v>4</v>
      </c>
      <c r="C21" s="41">
        <v>208</v>
      </c>
      <c r="D21" s="43">
        <v>0.05</v>
      </c>
      <c r="E21" s="29">
        <v>25000</v>
      </c>
      <c r="F21" s="30">
        <f t="shared" si="3"/>
        <v>5200000</v>
      </c>
      <c r="G21" s="37"/>
      <c r="H21" s="37"/>
      <c r="L21" t="s">
        <v>176</v>
      </c>
      <c r="M21">
        <v>3</v>
      </c>
    </row>
    <row r="22" spans="2:14" ht="15.75" thickBot="1" x14ac:dyDescent="0.3">
      <c r="B22" s="27">
        <v>5</v>
      </c>
      <c r="C22" s="41">
        <v>218</v>
      </c>
      <c r="D22" s="42">
        <v>0.05</v>
      </c>
      <c r="E22" s="29">
        <v>25000</v>
      </c>
      <c r="F22" s="30">
        <f t="shared" si="3"/>
        <v>5450000</v>
      </c>
      <c r="G22" s="37"/>
      <c r="H22" s="37"/>
      <c r="L22" t="s">
        <v>178</v>
      </c>
      <c r="N22" t="s">
        <v>177</v>
      </c>
    </row>
    <row r="23" spans="2:14" ht="15.75" thickBot="1" x14ac:dyDescent="0.3">
      <c r="B23" s="25">
        <v>6</v>
      </c>
      <c r="C23" s="41">
        <v>229</v>
      </c>
      <c r="D23" s="43">
        <v>0.05</v>
      </c>
      <c r="E23" s="29">
        <v>25000</v>
      </c>
      <c r="F23" s="30">
        <f t="shared" si="3"/>
        <v>5725000</v>
      </c>
      <c r="G23" s="37"/>
      <c r="H23" s="37"/>
      <c r="L23" t="s">
        <v>179</v>
      </c>
    </row>
    <row r="24" spans="2:14" ht="15.75" thickBot="1" x14ac:dyDescent="0.3">
      <c r="B24" s="27">
        <v>7</v>
      </c>
      <c r="C24" s="41">
        <v>241</v>
      </c>
      <c r="D24" s="42">
        <v>0.05</v>
      </c>
      <c r="E24" s="29">
        <v>25000</v>
      </c>
      <c r="F24" s="30">
        <f t="shared" si="3"/>
        <v>6025000</v>
      </c>
      <c r="G24" s="37"/>
      <c r="H24" s="37"/>
    </row>
    <row r="25" spans="2:14" ht="15.75" thickBot="1" x14ac:dyDescent="0.3">
      <c r="B25" s="25">
        <v>8</v>
      </c>
      <c r="C25" s="41">
        <v>241</v>
      </c>
      <c r="D25" s="43">
        <v>0</v>
      </c>
      <c r="E25" s="29">
        <v>25000</v>
      </c>
      <c r="F25" s="30">
        <f t="shared" si="3"/>
        <v>6025000</v>
      </c>
      <c r="G25" s="37"/>
      <c r="H25" s="37"/>
    </row>
    <row r="26" spans="2:14" ht="15.75" thickBot="1" x14ac:dyDescent="0.3">
      <c r="B26" s="27">
        <v>9</v>
      </c>
      <c r="C26" s="41">
        <v>241</v>
      </c>
      <c r="D26" s="42">
        <v>0</v>
      </c>
      <c r="E26" s="29">
        <v>25000</v>
      </c>
      <c r="F26" s="30">
        <f t="shared" si="3"/>
        <v>6025000</v>
      </c>
      <c r="G26" s="37"/>
      <c r="H26" s="37"/>
    </row>
    <row r="27" spans="2:14" ht="15.75" thickBot="1" x14ac:dyDescent="0.3">
      <c r="B27" s="25">
        <v>10</v>
      </c>
      <c r="C27" s="41">
        <v>241</v>
      </c>
      <c r="D27" s="43">
        <v>0</v>
      </c>
      <c r="E27" s="29">
        <v>25000</v>
      </c>
      <c r="F27" s="30">
        <f t="shared" si="3"/>
        <v>6025000</v>
      </c>
      <c r="G27" s="37"/>
      <c r="H27" s="37"/>
    </row>
    <row r="28" spans="2:14" ht="24.75" thickBot="1" x14ac:dyDescent="0.3">
      <c r="B28" s="33" t="s">
        <v>68</v>
      </c>
      <c r="C28" s="44">
        <f>SUM(C18:C27)</f>
        <v>2147</v>
      </c>
      <c r="D28" s="34"/>
      <c r="E28" s="34"/>
      <c r="F28" s="35">
        <f>SUM(F18:F27)</f>
        <v>53675000</v>
      </c>
    </row>
    <row r="31" spans="2:14" x14ac:dyDescent="0.25">
      <c r="C31">
        <v>1875000</v>
      </c>
    </row>
    <row r="32" spans="2:14" x14ac:dyDescent="0.25">
      <c r="C32">
        <v>3375000</v>
      </c>
    </row>
    <row r="33" spans="3:3" x14ac:dyDescent="0.25">
      <c r="C33">
        <v>4950000</v>
      </c>
    </row>
    <row r="34" spans="3:3" x14ac:dyDescent="0.25">
      <c r="C34">
        <v>5435000</v>
      </c>
    </row>
    <row r="35" spans="3:3" x14ac:dyDescent="0.25">
      <c r="C35">
        <v>5770000</v>
      </c>
    </row>
    <row r="36" spans="3:3" x14ac:dyDescent="0.25">
      <c r="C36">
        <v>6057500</v>
      </c>
    </row>
    <row r="37" spans="3:3" x14ac:dyDescent="0.25">
      <c r="C37">
        <v>6365000</v>
      </c>
    </row>
    <row r="38" spans="3:3" x14ac:dyDescent="0.25">
      <c r="C38">
        <v>6537500</v>
      </c>
    </row>
    <row r="39" spans="3:3" x14ac:dyDescent="0.25">
      <c r="C39">
        <v>6627500</v>
      </c>
    </row>
    <row r="40" spans="3:3" x14ac:dyDescent="0.25">
      <c r="C40">
        <v>6627500</v>
      </c>
    </row>
  </sheetData>
  <mergeCells count="2">
    <mergeCell ref="B2:H2"/>
    <mergeCell ref="B16:F16"/>
  </mergeCells>
  <pageMargins left="0.7" right="0.7" top="0.75" bottom="0.75" header="0.3" footer="0.3"/>
  <pageSetup paperSize="0" orientation="portrait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0"/>
  <sheetViews>
    <sheetView zoomScale="90" zoomScaleNormal="90" workbookViewId="0">
      <selection activeCell="B3" sqref="B3:C16"/>
    </sheetView>
  </sheetViews>
  <sheetFormatPr baseColWidth="10" defaultColWidth="11" defaultRowHeight="15" x14ac:dyDescent="0.25"/>
  <cols>
    <col min="1" max="1" width="5.7109375" style="65" customWidth="1"/>
    <col min="2" max="2" width="30.140625" style="65" customWidth="1"/>
    <col min="3" max="3" width="13.5703125" style="65" customWidth="1"/>
    <col min="4" max="4" width="3" style="65" customWidth="1"/>
    <col min="5" max="5" width="30.28515625" style="65" customWidth="1"/>
    <col min="6" max="6" width="11" style="65"/>
    <col min="7" max="7" width="7.140625" style="65" customWidth="1"/>
    <col min="8" max="8" width="26.42578125" style="65" customWidth="1"/>
    <col min="9" max="9" width="11.28515625" style="65" customWidth="1"/>
    <col min="10" max="10" width="3.7109375" style="65" customWidth="1"/>
    <col min="11" max="11" width="26.140625" style="65" bestFit="1" customWidth="1"/>
    <col min="12" max="16384" width="11" style="65"/>
  </cols>
  <sheetData>
    <row r="1" spans="2:12" x14ac:dyDescent="0.25">
      <c r="B1" s="329" t="s">
        <v>187</v>
      </c>
      <c r="C1" s="329"/>
      <c r="D1" s="329"/>
      <c r="E1" s="329"/>
      <c r="F1" s="329"/>
      <c r="H1" s="329" t="s">
        <v>188</v>
      </c>
      <c r="I1" s="329"/>
      <c r="J1" s="329"/>
      <c r="K1" s="329"/>
      <c r="L1" s="329"/>
    </row>
    <row r="2" spans="2:12" ht="15.75" thickBot="1" x14ac:dyDescent="0.3"/>
    <row r="3" spans="2:12" ht="30" customHeight="1" thickBot="1" x14ac:dyDescent="0.3">
      <c r="B3" s="330" t="s">
        <v>220</v>
      </c>
      <c r="C3" s="331"/>
      <c r="E3" s="332" t="s">
        <v>190</v>
      </c>
      <c r="F3" s="332"/>
      <c r="H3" s="333" t="s">
        <v>189</v>
      </c>
      <c r="I3" s="333"/>
      <c r="K3" s="332" t="s">
        <v>190</v>
      </c>
      <c r="L3" s="332"/>
    </row>
    <row r="4" spans="2:12" x14ac:dyDescent="0.25">
      <c r="B4" s="113" t="s">
        <v>191</v>
      </c>
      <c r="C4" s="118">
        <v>300</v>
      </c>
      <c r="E4" s="66" t="s">
        <v>192</v>
      </c>
      <c r="F4" s="68">
        <v>453</v>
      </c>
      <c r="H4" s="66" t="s">
        <v>191</v>
      </c>
      <c r="I4" s="117">
        <v>250</v>
      </c>
      <c r="K4" s="66" t="s">
        <v>192</v>
      </c>
      <c r="L4" s="66">
        <v>453</v>
      </c>
    </row>
    <row r="5" spans="2:12" x14ac:dyDescent="0.25">
      <c r="B5" s="114" t="s">
        <v>193</v>
      </c>
      <c r="C5" s="116">
        <v>0.45</v>
      </c>
      <c r="E5" s="66" t="s">
        <v>194</v>
      </c>
      <c r="F5" s="68">
        <v>32.64</v>
      </c>
      <c r="H5" s="66" t="s">
        <v>193</v>
      </c>
      <c r="I5" s="67">
        <v>0.45</v>
      </c>
      <c r="K5" s="66" t="s">
        <v>194</v>
      </c>
      <c r="L5" s="66">
        <v>32.64</v>
      </c>
    </row>
    <row r="6" spans="2:12" x14ac:dyDescent="0.25">
      <c r="B6" s="113" t="s">
        <v>195</v>
      </c>
      <c r="C6" s="115">
        <f>C4*C5*8</f>
        <v>1080</v>
      </c>
      <c r="E6" s="66" t="s">
        <v>196</v>
      </c>
      <c r="F6" s="68">
        <f>230*10</f>
        <v>2300</v>
      </c>
      <c r="H6" s="66" t="s">
        <v>197</v>
      </c>
      <c r="I6" s="67">
        <f>I4*I5*8</f>
        <v>900</v>
      </c>
      <c r="K6" s="66" t="s">
        <v>196</v>
      </c>
      <c r="L6" s="66">
        <f>230*10</f>
        <v>2300</v>
      </c>
    </row>
    <row r="7" spans="2:12" x14ac:dyDescent="0.25">
      <c r="B7" s="114" t="s">
        <v>190</v>
      </c>
      <c r="C7" s="116">
        <f>F8</f>
        <v>3217.64</v>
      </c>
      <c r="E7" s="66" t="s">
        <v>207</v>
      </c>
      <c r="F7" s="68">
        <f>40%*C6</f>
        <v>432</v>
      </c>
      <c r="H7" s="66" t="s">
        <v>190</v>
      </c>
      <c r="I7" s="67">
        <f>L7</f>
        <v>2785.64</v>
      </c>
      <c r="K7" s="69" t="s">
        <v>68</v>
      </c>
      <c r="L7" s="69">
        <f>SUM(L4:L6)</f>
        <v>2785.64</v>
      </c>
    </row>
    <row r="8" spans="2:12" x14ac:dyDescent="0.25">
      <c r="B8" s="113" t="s">
        <v>198</v>
      </c>
      <c r="C8" s="115">
        <f>C6+C7</f>
        <v>4297.6399999999994</v>
      </c>
      <c r="E8" s="69" t="s">
        <v>68</v>
      </c>
      <c r="F8" s="69">
        <f>SUM(F4:F7)</f>
        <v>3217.64</v>
      </c>
      <c r="H8" s="69" t="s">
        <v>198</v>
      </c>
      <c r="I8" s="70">
        <f>I6+I7</f>
        <v>3685.64</v>
      </c>
    </row>
    <row r="9" spans="2:12" x14ac:dyDescent="0.25">
      <c r="B9" s="114" t="s">
        <v>199</v>
      </c>
      <c r="C9" s="116">
        <f>0.16*C8</f>
        <v>687.62239999999997</v>
      </c>
      <c r="H9" s="66" t="s">
        <v>199</v>
      </c>
      <c r="I9" s="67">
        <f>0.16*I8</f>
        <v>589.70240000000001</v>
      </c>
    </row>
    <row r="10" spans="2:12" x14ac:dyDescent="0.25">
      <c r="B10" s="113" t="s">
        <v>200</v>
      </c>
      <c r="C10" s="115">
        <f>0.02*C8</f>
        <v>85.952799999999996</v>
      </c>
      <c r="H10" s="66" t="s">
        <v>200</v>
      </c>
      <c r="I10" s="67">
        <f>0.02*I8</f>
        <v>73.712800000000001</v>
      </c>
    </row>
    <row r="11" spans="2:12" x14ac:dyDescent="0.25">
      <c r="B11" s="114" t="s">
        <v>201</v>
      </c>
      <c r="C11" s="116">
        <f>0.0175*C8</f>
        <v>75.208699999999993</v>
      </c>
      <c r="H11" s="66" t="s">
        <v>201</v>
      </c>
      <c r="I11" s="67">
        <f>0.0175*I8</f>
        <v>64.498699999999999</v>
      </c>
    </row>
    <row r="12" spans="2:12" x14ac:dyDescent="0.25">
      <c r="B12" s="113" t="s">
        <v>202</v>
      </c>
      <c r="C12" s="115">
        <v>0</v>
      </c>
      <c r="H12" s="71" t="s">
        <v>202</v>
      </c>
      <c r="I12" s="67">
        <v>0</v>
      </c>
    </row>
    <row r="13" spans="2:12" x14ac:dyDescent="0.25">
      <c r="B13" s="114"/>
      <c r="C13" s="116"/>
    </row>
    <row r="14" spans="2:12" x14ac:dyDescent="0.25">
      <c r="B14" s="113" t="s">
        <v>203</v>
      </c>
      <c r="C14" s="115">
        <f>C8+C9+C10+C11</f>
        <v>5146.4238999999998</v>
      </c>
      <c r="H14" s="69" t="s">
        <v>203</v>
      </c>
      <c r="I14" s="69">
        <f>I8+I9+I10+I11+I12</f>
        <v>4413.5538999999999</v>
      </c>
    </row>
    <row r="15" spans="2:12" x14ac:dyDescent="0.25">
      <c r="B15" s="114" t="s">
        <v>204</v>
      </c>
      <c r="C15" s="141">
        <v>3.4</v>
      </c>
      <c r="H15" s="69" t="s">
        <v>205</v>
      </c>
      <c r="I15" s="69">
        <v>3.4</v>
      </c>
    </row>
    <row r="16" spans="2:12" x14ac:dyDescent="0.25">
      <c r="B16" s="139" t="s">
        <v>206</v>
      </c>
      <c r="C16" s="140">
        <f>C14*C15</f>
        <v>17497.841259999997</v>
      </c>
      <c r="H16" s="73" t="s">
        <v>203</v>
      </c>
      <c r="I16" s="74">
        <f>I14*I15</f>
        <v>15006.083259999999</v>
      </c>
    </row>
    <row r="19" spans="3:3" x14ac:dyDescent="0.25">
      <c r="C19" s="72"/>
    </row>
    <row r="20" spans="3:3" x14ac:dyDescent="0.25">
      <c r="C20" s="72"/>
    </row>
  </sheetData>
  <mergeCells count="6">
    <mergeCell ref="B1:F1"/>
    <mergeCell ref="H1:L1"/>
    <mergeCell ref="B3:C3"/>
    <mergeCell ref="E3:F3"/>
    <mergeCell ref="H3:I3"/>
    <mergeCell ref="K3:L3"/>
  </mergeCells>
  <pageMargins left="0.7" right="0.7" top="0.75" bottom="0.75" header="0.3" footer="0.3"/>
  <pageSetup paperSize="9" orientation="portrait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topLeftCell="A10" zoomScale="90" zoomScaleNormal="90" workbookViewId="0">
      <selection activeCell="K18" sqref="K18"/>
    </sheetView>
  </sheetViews>
  <sheetFormatPr baseColWidth="10" defaultRowHeight="15" x14ac:dyDescent="0.25"/>
  <cols>
    <col min="1" max="1" width="3.85546875" customWidth="1"/>
    <col min="2" max="2" width="21" customWidth="1"/>
    <col min="3" max="5" width="13.140625" customWidth="1"/>
    <col min="6" max="6" width="14.28515625" customWidth="1"/>
    <col min="7" max="8" width="13.140625" customWidth="1"/>
  </cols>
  <sheetData>
    <row r="1" spans="2:14" ht="15.75" thickBot="1" x14ac:dyDescent="0.3"/>
    <row r="2" spans="2:14" ht="21" customHeight="1" thickBot="1" x14ac:dyDescent="0.3">
      <c r="B2" s="334" t="s">
        <v>70</v>
      </c>
      <c r="C2" s="335"/>
      <c r="D2" s="335"/>
      <c r="E2" s="335"/>
      <c r="F2" s="336"/>
    </row>
    <row r="3" spans="2:14" ht="36.75" thickBot="1" x14ac:dyDescent="0.3">
      <c r="B3" s="164" t="s">
        <v>62</v>
      </c>
      <c r="C3" s="165" t="s">
        <v>147</v>
      </c>
      <c r="D3" s="165" t="s">
        <v>63</v>
      </c>
      <c r="E3" s="165" t="s">
        <v>72</v>
      </c>
      <c r="F3" s="166" t="s">
        <v>71</v>
      </c>
    </row>
    <row r="4" spans="2:14" x14ac:dyDescent="0.25">
      <c r="B4" s="160">
        <v>1</v>
      </c>
      <c r="C4" s="161"/>
      <c r="D4" s="161">
        <v>150</v>
      </c>
      <c r="E4" s="162">
        <v>17500</v>
      </c>
      <c r="F4" s="163">
        <f>E4*D4</f>
        <v>2625000</v>
      </c>
      <c r="I4" s="46" t="s">
        <v>224</v>
      </c>
      <c r="J4">
        <v>40</v>
      </c>
    </row>
    <row r="5" spans="2:14" x14ac:dyDescent="0.25">
      <c r="B5" s="148">
        <v>2</v>
      </c>
      <c r="C5" s="143">
        <v>0.2</v>
      </c>
      <c r="D5" s="144">
        <v>180</v>
      </c>
      <c r="E5" s="142">
        <v>17500</v>
      </c>
      <c r="F5" s="147">
        <f t="shared" ref="F5:F13" si="0">E5*D5</f>
        <v>3150000</v>
      </c>
      <c r="I5" s="46" t="s">
        <v>225</v>
      </c>
      <c r="N5">
        <v>2625000</v>
      </c>
    </row>
    <row r="6" spans="2:14" x14ac:dyDescent="0.25">
      <c r="B6" s="146">
        <v>3</v>
      </c>
      <c r="C6" s="145">
        <v>0.1</v>
      </c>
      <c r="D6" s="144">
        <v>198</v>
      </c>
      <c r="E6" s="142">
        <v>17500</v>
      </c>
      <c r="F6" s="147">
        <f t="shared" si="0"/>
        <v>3465000</v>
      </c>
      <c r="I6" s="46"/>
      <c r="N6">
        <v>3150000</v>
      </c>
    </row>
    <row r="7" spans="2:14" x14ac:dyDescent="0.25">
      <c r="B7" s="148">
        <v>4</v>
      </c>
      <c r="C7" s="143">
        <v>0.05</v>
      </c>
      <c r="D7" s="144">
        <v>208</v>
      </c>
      <c r="E7" s="142">
        <v>17500</v>
      </c>
      <c r="F7" s="147">
        <f t="shared" si="0"/>
        <v>3640000</v>
      </c>
      <c r="I7" s="46"/>
      <c r="N7">
        <v>3465000</v>
      </c>
    </row>
    <row r="8" spans="2:14" x14ac:dyDescent="0.25">
      <c r="B8" s="146">
        <v>5</v>
      </c>
      <c r="C8" s="145">
        <v>0.05</v>
      </c>
      <c r="D8" s="144">
        <v>218</v>
      </c>
      <c r="E8" s="142">
        <v>17500</v>
      </c>
      <c r="F8" s="147">
        <f t="shared" si="0"/>
        <v>3815000</v>
      </c>
      <c r="I8" s="46"/>
      <c r="N8">
        <v>3640000</v>
      </c>
    </row>
    <row r="9" spans="2:14" x14ac:dyDescent="0.25">
      <c r="B9" s="148">
        <v>6</v>
      </c>
      <c r="C9" s="143">
        <v>0.05</v>
      </c>
      <c r="D9" s="144">
        <v>229</v>
      </c>
      <c r="E9" s="142">
        <v>17500</v>
      </c>
      <c r="F9" s="147">
        <f t="shared" si="0"/>
        <v>4007500</v>
      </c>
      <c r="I9" s="46"/>
      <c r="N9">
        <v>3815000</v>
      </c>
    </row>
    <row r="10" spans="2:14" x14ac:dyDescent="0.25">
      <c r="B10" s="146">
        <v>7</v>
      </c>
      <c r="C10" s="145">
        <v>0.05</v>
      </c>
      <c r="D10" s="144">
        <v>241</v>
      </c>
      <c r="E10" s="142">
        <v>17500</v>
      </c>
      <c r="F10" s="147">
        <f t="shared" si="0"/>
        <v>4217500</v>
      </c>
      <c r="I10" s="46"/>
      <c r="N10">
        <v>4007500</v>
      </c>
    </row>
    <row r="11" spans="2:14" x14ac:dyDescent="0.25">
      <c r="B11" s="148">
        <v>8</v>
      </c>
      <c r="C11" s="143">
        <v>0</v>
      </c>
      <c r="D11" s="144">
        <v>241</v>
      </c>
      <c r="E11" s="142">
        <v>17500</v>
      </c>
      <c r="F11" s="147">
        <f t="shared" si="0"/>
        <v>4217500</v>
      </c>
      <c r="I11" s="46"/>
      <c r="N11">
        <v>4217500</v>
      </c>
    </row>
    <row r="12" spans="2:14" x14ac:dyDescent="0.25">
      <c r="B12" s="146">
        <v>9</v>
      </c>
      <c r="C12" s="145">
        <v>0</v>
      </c>
      <c r="D12" s="144">
        <v>241</v>
      </c>
      <c r="E12" s="142">
        <v>17500</v>
      </c>
      <c r="F12" s="147">
        <f t="shared" si="0"/>
        <v>4217500</v>
      </c>
      <c r="I12" s="46"/>
      <c r="N12">
        <v>4217500</v>
      </c>
    </row>
    <row r="13" spans="2:14" ht="15.75" thickBot="1" x14ac:dyDescent="0.3">
      <c r="B13" s="149">
        <v>10</v>
      </c>
      <c r="C13" s="150">
        <v>0</v>
      </c>
      <c r="D13" s="151">
        <v>241</v>
      </c>
      <c r="E13" s="152">
        <v>17500</v>
      </c>
      <c r="F13" s="153">
        <f t="shared" si="0"/>
        <v>4217500</v>
      </c>
      <c r="I13" s="46"/>
      <c r="N13">
        <v>4217500</v>
      </c>
    </row>
    <row r="14" spans="2:14" ht="15.75" thickBot="1" x14ac:dyDescent="0.3">
      <c r="B14" s="154" t="s">
        <v>68</v>
      </c>
      <c r="C14" s="155"/>
      <c r="D14" s="155">
        <f>SUM(D4:D13)</f>
        <v>2147</v>
      </c>
      <c r="E14" s="156"/>
      <c r="F14" s="157">
        <f>SUM(F4:F13)</f>
        <v>37572500</v>
      </c>
      <c r="N14">
        <v>4217500</v>
      </c>
    </row>
    <row r="16" spans="2:14" x14ac:dyDescent="0.25">
      <c r="C16">
        <v>2625000</v>
      </c>
      <c r="D16">
        <v>3150000</v>
      </c>
      <c r="E16">
        <v>3465000</v>
      </c>
      <c r="F16">
        <v>3640000</v>
      </c>
      <c r="G16">
        <v>3815000</v>
      </c>
      <c r="H16">
        <v>4007500</v>
      </c>
      <c r="I16">
        <v>4217500</v>
      </c>
      <c r="J16">
        <v>4217500</v>
      </c>
      <c r="K16">
        <v>4217500</v>
      </c>
      <c r="L16">
        <v>4217500</v>
      </c>
    </row>
    <row r="17" spans="1:12" ht="15.75" thickBot="1" x14ac:dyDescent="0.3"/>
    <row r="18" spans="1:12" ht="19.5" customHeight="1" thickBot="1" x14ac:dyDescent="0.3">
      <c r="B18" s="337" t="s">
        <v>110</v>
      </c>
      <c r="C18" s="338"/>
      <c r="D18" s="338"/>
      <c r="E18" s="338"/>
      <c r="F18" s="338"/>
      <c r="G18" s="339"/>
    </row>
    <row r="19" spans="1:12" ht="15.75" thickBot="1" x14ac:dyDescent="0.3">
      <c r="B19" s="164" t="s">
        <v>62</v>
      </c>
      <c r="C19" s="175">
        <v>1</v>
      </c>
      <c r="D19" s="175">
        <v>2</v>
      </c>
      <c r="E19" s="175">
        <v>3</v>
      </c>
      <c r="F19" s="175">
        <v>4</v>
      </c>
      <c r="G19" s="176">
        <v>5</v>
      </c>
    </row>
    <row r="20" spans="1:12" ht="18" customHeight="1" x14ac:dyDescent="0.25">
      <c r="B20" s="160" t="s">
        <v>111</v>
      </c>
      <c r="C20" s="177">
        <f>C16</f>
        <v>2625000</v>
      </c>
      <c r="D20" s="177">
        <f t="shared" ref="D20:G20" si="1">D16</f>
        <v>3150000</v>
      </c>
      <c r="E20" s="177">
        <f t="shared" si="1"/>
        <v>3465000</v>
      </c>
      <c r="F20" s="177">
        <f t="shared" si="1"/>
        <v>3640000</v>
      </c>
      <c r="G20" s="178">
        <f t="shared" si="1"/>
        <v>3815000</v>
      </c>
    </row>
    <row r="21" spans="1:12" ht="18" customHeight="1" x14ac:dyDescent="0.25">
      <c r="A21" s="37">
        <v>0.05</v>
      </c>
      <c r="B21" s="146" t="s">
        <v>112</v>
      </c>
      <c r="C21" s="179">
        <v>61460</v>
      </c>
      <c r="D21" s="167">
        <f>C$21*1.05</f>
        <v>64533</v>
      </c>
      <c r="E21" s="179">
        <f>D$21*1.05</f>
        <v>67759.650000000009</v>
      </c>
      <c r="F21" s="179">
        <f>E$21*1.05</f>
        <v>71147.632500000007</v>
      </c>
      <c r="G21" s="180">
        <f>F$21*1.05</f>
        <v>74705.014125000016</v>
      </c>
    </row>
    <row r="22" spans="1:12" ht="23.25" customHeight="1" thickBot="1" x14ac:dyDescent="0.3">
      <c r="A22" s="37">
        <v>0.05</v>
      </c>
      <c r="B22" s="168" t="s">
        <v>113</v>
      </c>
      <c r="C22" s="181">
        <v>4542</v>
      </c>
      <c r="D22" s="181">
        <f>C22*1.05</f>
        <v>4769.1000000000004</v>
      </c>
      <c r="E22" s="181">
        <f t="shared" ref="E22:G22" si="2">D22*1.05</f>
        <v>5007.5550000000003</v>
      </c>
      <c r="F22" s="181">
        <f t="shared" si="2"/>
        <v>5257.9327500000009</v>
      </c>
      <c r="G22" s="182">
        <f t="shared" si="2"/>
        <v>5520.8293875000008</v>
      </c>
    </row>
    <row r="23" spans="1:12" ht="26.25" customHeight="1" thickBot="1" x14ac:dyDescent="0.3">
      <c r="B23" s="172" t="s">
        <v>114</v>
      </c>
      <c r="C23" s="173">
        <f>SUM(C19:C22)</f>
        <v>2691003</v>
      </c>
      <c r="D23" s="173">
        <f>SUM(D19:D22)</f>
        <v>3219304.1</v>
      </c>
      <c r="E23" s="173">
        <f>SUM(E19:E22)</f>
        <v>3537770.2050000001</v>
      </c>
      <c r="F23" s="173">
        <f>SUM(F19:F22)</f>
        <v>3716409.56525</v>
      </c>
      <c r="G23" s="174">
        <f>SUM(G19:G22)</f>
        <v>3895230.8435125002</v>
      </c>
    </row>
    <row r="24" spans="1:12" ht="15.75" thickBot="1" x14ac:dyDescent="0.3">
      <c r="B24" s="164" t="s">
        <v>62</v>
      </c>
      <c r="C24" s="175">
        <v>6</v>
      </c>
      <c r="D24" s="175">
        <v>7</v>
      </c>
      <c r="E24" s="175">
        <v>8</v>
      </c>
      <c r="F24" s="175">
        <v>9</v>
      </c>
      <c r="G24" s="176">
        <v>10</v>
      </c>
    </row>
    <row r="25" spans="1:12" ht="18" customHeight="1" x14ac:dyDescent="0.25">
      <c r="B25" s="160" t="s">
        <v>111</v>
      </c>
      <c r="C25" s="177">
        <f>H16</f>
        <v>4007500</v>
      </c>
      <c r="D25" s="177">
        <f t="shared" ref="D25:G25" si="3">I16</f>
        <v>4217500</v>
      </c>
      <c r="E25" s="177">
        <f t="shared" si="3"/>
        <v>4217500</v>
      </c>
      <c r="F25" s="177">
        <f t="shared" si="3"/>
        <v>4217500</v>
      </c>
      <c r="G25" s="178">
        <f t="shared" si="3"/>
        <v>4217500</v>
      </c>
    </row>
    <row r="26" spans="1:12" ht="18" customHeight="1" x14ac:dyDescent="0.25">
      <c r="B26" s="146" t="s">
        <v>112</v>
      </c>
      <c r="C26" s="179">
        <f>G$21*1.05</f>
        <v>78440.264831250024</v>
      </c>
      <c r="D26" s="167">
        <f>C$26*1.05</f>
        <v>82362.278072812522</v>
      </c>
      <c r="E26" s="179">
        <f>D$26*1.05</f>
        <v>86480.391976453146</v>
      </c>
      <c r="F26" s="179">
        <f>E$26*1.05</f>
        <v>90804.411575275808</v>
      </c>
      <c r="G26" s="180">
        <f>F$26*1.05</f>
        <v>95344.632154039602</v>
      </c>
    </row>
    <row r="27" spans="1:12" ht="27.75" customHeight="1" thickBot="1" x14ac:dyDescent="0.3">
      <c r="B27" s="168" t="s">
        <v>113</v>
      </c>
      <c r="C27" s="183">
        <f>G22*1.05</f>
        <v>5796.8708568750008</v>
      </c>
      <c r="D27" s="181">
        <f>C$27*1.05</f>
        <v>6086.7143997187513</v>
      </c>
      <c r="E27" s="183">
        <f>D$27*1.05</f>
        <v>6391.0501197046888</v>
      </c>
      <c r="F27" s="183">
        <f>E$27*1.05</f>
        <v>6710.6026256899231</v>
      </c>
      <c r="G27" s="184">
        <f>F$27*1.05</f>
        <v>7046.1327569744199</v>
      </c>
    </row>
    <row r="28" spans="1:12" ht="22.5" customHeight="1" thickBot="1" x14ac:dyDescent="0.3">
      <c r="B28" s="169" t="s">
        <v>114</v>
      </c>
      <c r="C28" s="170">
        <f>SUM(C25:C27)</f>
        <v>4091737.1356881252</v>
      </c>
      <c r="D28" s="170">
        <f>SUM(D25:D27)</f>
        <v>4305948.9924725313</v>
      </c>
      <c r="E28" s="170">
        <f>SUM(E25:E27)</f>
        <v>4310371.4420961579</v>
      </c>
      <c r="F28" s="170">
        <f>SUM(F25:F27)</f>
        <v>4315015.0142009649</v>
      </c>
      <c r="G28" s="171" t="s">
        <v>231</v>
      </c>
    </row>
    <row r="32" spans="1:12" x14ac:dyDescent="0.25">
      <c r="C32">
        <v>2625000</v>
      </c>
      <c r="D32">
        <v>3150000</v>
      </c>
      <c r="E32">
        <v>3465000</v>
      </c>
      <c r="F32">
        <v>3640000</v>
      </c>
      <c r="G32">
        <v>3815000</v>
      </c>
      <c r="H32">
        <v>4007500</v>
      </c>
      <c r="I32">
        <v>4217500</v>
      </c>
      <c r="J32">
        <v>4217500</v>
      </c>
      <c r="K32">
        <v>4217500</v>
      </c>
      <c r="L32">
        <v>4217500</v>
      </c>
    </row>
    <row r="33" spans="3:12" x14ac:dyDescent="0.25">
      <c r="C33">
        <v>61460</v>
      </c>
      <c r="D33">
        <v>64533</v>
      </c>
      <c r="E33">
        <v>67759.650000000009</v>
      </c>
      <c r="F33">
        <v>71147.632500000007</v>
      </c>
      <c r="G33">
        <v>74705.014125000016</v>
      </c>
      <c r="H33">
        <v>78440.264831250024</v>
      </c>
      <c r="I33">
        <v>82362.278072812522</v>
      </c>
      <c r="J33">
        <v>86480.391976453146</v>
      </c>
      <c r="K33">
        <v>90804.411575275808</v>
      </c>
      <c r="L33">
        <v>95344.632154039602</v>
      </c>
    </row>
    <row r="34" spans="3:12" x14ac:dyDescent="0.25">
      <c r="C34">
        <v>4542</v>
      </c>
      <c r="D34">
        <v>4769.1000000000004</v>
      </c>
      <c r="E34">
        <v>5007.5550000000003</v>
      </c>
      <c r="F34">
        <v>5257.9327500000009</v>
      </c>
      <c r="G34">
        <v>5520.8293875000008</v>
      </c>
      <c r="H34">
        <v>5796.8708568750008</v>
      </c>
      <c r="I34">
        <v>6086.7143997187513</v>
      </c>
      <c r="J34">
        <v>6391.0501197046888</v>
      </c>
      <c r="K34">
        <v>6710.6026256899231</v>
      </c>
      <c r="L34">
        <v>7046.1327569744199</v>
      </c>
    </row>
    <row r="35" spans="3:12" x14ac:dyDescent="0.25">
      <c r="C35">
        <v>2691003</v>
      </c>
      <c r="D35">
        <v>3219304.1</v>
      </c>
      <c r="E35">
        <v>3537770.2050000001</v>
      </c>
      <c r="F35">
        <v>3716409.56525</v>
      </c>
      <c r="G35">
        <v>3895230.8435125002</v>
      </c>
      <c r="H35">
        <v>4091737.1356881252</v>
      </c>
      <c r="I35">
        <v>4305948.9924725313</v>
      </c>
      <c r="J35">
        <v>4310371.4420961579</v>
      </c>
      <c r="K35">
        <v>4315015.0142009649</v>
      </c>
      <c r="L35">
        <v>4319890.7649110146</v>
      </c>
    </row>
    <row r="37" spans="3:12" x14ac:dyDescent="0.25">
      <c r="C37">
        <f>C32*-1</f>
        <v>-2625000</v>
      </c>
      <c r="D37">
        <f t="shared" ref="D37:L37" si="4">D32*-1</f>
        <v>-3150000</v>
      </c>
      <c r="E37">
        <f t="shared" si="4"/>
        <v>-3465000</v>
      </c>
      <c r="F37">
        <f t="shared" si="4"/>
        <v>-3640000</v>
      </c>
      <c r="G37">
        <f t="shared" si="4"/>
        <v>-3815000</v>
      </c>
      <c r="H37">
        <f t="shared" si="4"/>
        <v>-4007500</v>
      </c>
      <c r="I37">
        <f t="shared" si="4"/>
        <v>-4217500</v>
      </c>
      <c r="J37">
        <f t="shared" si="4"/>
        <v>-4217500</v>
      </c>
      <c r="K37">
        <f t="shared" si="4"/>
        <v>-4217500</v>
      </c>
      <c r="L37">
        <f t="shared" si="4"/>
        <v>-4217500</v>
      </c>
    </row>
    <row r="38" spans="3:12" x14ac:dyDescent="0.25">
      <c r="C38">
        <f t="shared" ref="C38:L40" si="5">C33*-1</f>
        <v>-61460</v>
      </c>
      <c r="D38">
        <f t="shared" si="5"/>
        <v>-64533</v>
      </c>
      <c r="E38">
        <f t="shared" si="5"/>
        <v>-67759.650000000009</v>
      </c>
      <c r="F38">
        <f t="shared" si="5"/>
        <v>-71147.632500000007</v>
      </c>
      <c r="G38">
        <f t="shared" si="5"/>
        <v>-74705.014125000016</v>
      </c>
      <c r="H38">
        <f t="shared" si="5"/>
        <v>-78440.264831250024</v>
      </c>
      <c r="I38">
        <f t="shared" si="5"/>
        <v>-82362.278072812522</v>
      </c>
      <c r="J38">
        <f t="shared" si="5"/>
        <v>-86480.391976453146</v>
      </c>
      <c r="K38">
        <f t="shared" si="5"/>
        <v>-90804.411575275808</v>
      </c>
      <c r="L38">
        <f t="shared" si="5"/>
        <v>-95344.632154039602</v>
      </c>
    </row>
    <row r="39" spans="3:12" x14ac:dyDescent="0.25">
      <c r="C39">
        <f t="shared" si="5"/>
        <v>-4542</v>
      </c>
      <c r="D39">
        <f t="shared" si="5"/>
        <v>-4769.1000000000004</v>
      </c>
      <c r="E39">
        <f t="shared" si="5"/>
        <v>-5007.5550000000003</v>
      </c>
      <c r="F39">
        <f t="shared" si="5"/>
        <v>-5257.9327500000009</v>
      </c>
      <c r="G39">
        <f t="shared" si="5"/>
        <v>-5520.8293875000008</v>
      </c>
      <c r="H39">
        <f t="shared" si="5"/>
        <v>-5796.8708568750008</v>
      </c>
      <c r="I39">
        <f t="shared" si="5"/>
        <v>-6086.7143997187513</v>
      </c>
      <c r="J39">
        <f t="shared" si="5"/>
        <v>-6391.0501197046888</v>
      </c>
      <c r="K39">
        <f t="shared" si="5"/>
        <v>-6710.6026256899231</v>
      </c>
      <c r="L39">
        <f t="shared" si="5"/>
        <v>-7046.1327569744199</v>
      </c>
    </row>
    <row r="40" spans="3:12" x14ac:dyDescent="0.25">
      <c r="C40">
        <f t="shared" si="5"/>
        <v>-2691003</v>
      </c>
      <c r="D40">
        <f t="shared" si="5"/>
        <v>-3219304.1</v>
      </c>
      <c r="E40">
        <f t="shared" si="5"/>
        <v>-3537770.2050000001</v>
      </c>
      <c r="F40">
        <f t="shared" si="5"/>
        <v>-3716409.56525</v>
      </c>
      <c r="G40">
        <f t="shared" si="5"/>
        <v>-3895230.8435125002</v>
      </c>
      <c r="H40">
        <f t="shared" si="5"/>
        <v>-4091737.1356881252</v>
      </c>
      <c r="I40">
        <f t="shared" si="5"/>
        <v>-4305948.9924725313</v>
      </c>
      <c r="J40">
        <f t="shared" si="5"/>
        <v>-4310371.4420961579</v>
      </c>
      <c r="K40">
        <f t="shared" si="5"/>
        <v>-4315015.0142009649</v>
      </c>
      <c r="L40">
        <f t="shared" si="5"/>
        <v>-4319890.7649110146</v>
      </c>
    </row>
  </sheetData>
  <mergeCells count="2">
    <mergeCell ref="B2:F2"/>
    <mergeCell ref="B18:G1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zoomScale="90" zoomScaleNormal="90" workbookViewId="0">
      <selection activeCell="E8" sqref="E8"/>
    </sheetView>
  </sheetViews>
  <sheetFormatPr baseColWidth="10" defaultRowHeight="15" x14ac:dyDescent="0.25"/>
  <cols>
    <col min="1" max="1" width="3.28515625" customWidth="1"/>
    <col min="2" max="2" width="24.5703125" customWidth="1"/>
    <col min="3" max="12" width="13" customWidth="1"/>
  </cols>
  <sheetData>
    <row r="1" spans="1:12" ht="13.5" customHeight="1" x14ac:dyDescent="0.25"/>
    <row r="2" spans="1:12" x14ac:dyDescent="0.25">
      <c r="B2" t="s">
        <v>118</v>
      </c>
    </row>
    <row r="3" spans="1:12" ht="15.75" thickBot="1" x14ac:dyDescent="0.3"/>
    <row r="4" spans="1:12" ht="15.75" customHeight="1" thickBot="1" x14ac:dyDescent="0.3">
      <c r="B4" s="304" t="s">
        <v>124</v>
      </c>
      <c r="C4" s="305"/>
      <c r="D4" s="305"/>
      <c r="E4" s="305"/>
      <c r="F4" s="305"/>
      <c r="G4" s="305"/>
      <c r="H4" s="305"/>
      <c r="I4" s="305"/>
      <c r="J4" s="305"/>
      <c r="K4" s="305"/>
      <c r="L4" s="306"/>
    </row>
    <row r="5" spans="1:12" ht="15.75" thickBot="1" x14ac:dyDescent="0.3">
      <c r="B5" s="190" t="s">
        <v>62</v>
      </c>
      <c r="C5" s="175">
        <v>1</v>
      </c>
      <c r="D5" s="175">
        <v>2</v>
      </c>
      <c r="E5" s="175">
        <v>3</v>
      </c>
      <c r="F5" s="175">
        <v>4</v>
      </c>
      <c r="G5" s="175">
        <v>5</v>
      </c>
      <c r="H5" s="175">
        <v>6</v>
      </c>
      <c r="I5" s="175">
        <v>7</v>
      </c>
      <c r="J5" s="175">
        <v>8</v>
      </c>
      <c r="K5" s="175">
        <v>9</v>
      </c>
      <c r="L5" s="176">
        <v>10</v>
      </c>
    </row>
    <row r="6" spans="1:12" x14ac:dyDescent="0.25">
      <c r="A6" s="37">
        <v>0.03</v>
      </c>
      <c r="B6" s="191" t="s">
        <v>120</v>
      </c>
      <c r="C6" s="192">
        <v>122920</v>
      </c>
      <c r="D6" s="192">
        <f>C6*1.05</f>
        <v>129066</v>
      </c>
      <c r="E6" s="192">
        <f t="shared" ref="E6:L6" si="0">D6*1.05</f>
        <v>135519.30000000002</v>
      </c>
      <c r="F6" s="192">
        <f t="shared" si="0"/>
        <v>142295.26500000001</v>
      </c>
      <c r="G6" s="192">
        <f t="shared" si="0"/>
        <v>149410.02825000003</v>
      </c>
      <c r="H6" s="192">
        <f t="shared" si="0"/>
        <v>156880.52966250005</v>
      </c>
      <c r="I6" s="192">
        <f t="shared" si="0"/>
        <v>164724.55614562504</v>
      </c>
      <c r="J6" s="192">
        <f t="shared" si="0"/>
        <v>172960.78395290629</v>
      </c>
      <c r="K6" s="192">
        <f t="shared" si="0"/>
        <v>181608.82315055162</v>
      </c>
      <c r="L6" s="193">
        <f t="shared" si="0"/>
        <v>190689.2643080792</v>
      </c>
    </row>
    <row r="7" spans="1:12" x14ac:dyDescent="0.25">
      <c r="A7" s="37">
        <v>0.03</v>
      </c>
      <c r="B7" s="194" t="s">
        <v>121</v>
      </c>
      <c r="C7" s="195">
        <v>93600</v>
      </c>
      <c r="D7" s="195">
        <f>C7*1.05</f>
        <v>98280</v>
      </c>
      <c r="E7" s="195">
        <f t="shared" ref="E7:L7" si="1">D7*1.05</f>
        <v>103194</v>
      </c>
      <c r="F7" s="195">
        <f t="shared" si="1"/>
        <v>108353.70000000001</v>
      </c>
      <c r="G7" s="195">
        <f t="shared" si="1"/>
        <v>113771.38500000002</v>
      </c>
      <c r="H7" s="195">
        <f t="shared" si="1"/>
        <v>119459.95425000002</v>
      </c>
      <c r="I7" s="195">
        <f t="shared" si="1"/>
        <v>125432.95196250002</v>
      </c>
      <c r="J7" s="195">
        <f t="shared" si="1"/>
        <v>131704.59956062504</v>
      </c>
      <c r="K7" s="195">
        <f t="shared" si="1"/>
        <v>138289.82953865628</v>
      </c>
      <c r="L7" s="196">
        <f t="shared" si="1"/>
        <v>145204.32101558911</v>
      </c>
    </row>
    <row r="8" spans="1:12" x14ac:dyDescent="0.25">
      <c r="A8" s="37">
        <v>1.4999999999999999E-2</v>
      </c>
      <c r="B8" s="194" t="s">
        <v>122</v>
      </c>
      <c r="C8" s="197">
        <v>3600</v>
      </c>
      <c r="D8" s="195">
        <f>C8*1.02</f>
        <v>3672</v>
      </c>
      <c r="E8" s="195">
        <f t="shared" ref="E8:L8" si="2">D8*1.02</f>
        <v>3745.44</v>
      </c>
      <c r="F8" s="195">
        <f t="shared" si="2"/>
        <v>3820.3488000000002</v>
      </c>
      <c r="G8" s="195">
        <f t="shared" si="2"/>
        <v>3896.7557760000004</v>
      </c>
      <c r="H8" s="195">
        <f t="shared" si="2"/>
        <v>3974.6908915200006</v>
      </c>
      <c r="I8" s="195">
        <f t="shared" si="2"/>
        <v>4054.1847093504007</v>
      </c>
      <c r="J8" s="195">
        <f t="shared" si="2"/>
        <v>4135.2684035374086</v>
      </c>
      <c r="K8" s="195">
        <f t="shared" si="2"/>
        <v>4217.9737716081572</v>
      </c>
      <c r="L8" s="196">
        <f t="shared" si="2"/>
        <v>4302.3332470403202</v>
      </c>
    </row>
    <row r="9" spans="1:12" ht="16.5" customHeight="1" thickBot="1" x14ac:dyDescent="0.3">
      <c r="A9" s="37">
        <v>0.03</v>
      </c>
      <c r="B9" s="198" t="s">
        <v>123</v>
      </c>
      <c r="C9" s="199">
        <v>1200</v>
      </c>
      <c r="D9" s="200">
        <f t="shared" ref="D9:L9" si="3">C9*1.05</f>
        <v>1260</v>
      </c>
      <c r="E9" s="200">
        <f t="shared" si="3"/>
        <v>1323</v>
      </c>
      <c r="F9" s="200">
        <f t="shared" si="3"/>
        <v>1389.15</v>
      </c>
      <c r="G9" s="200">
        <f t="shared" si="3"/>
        <v>1458.6075000000001</v>
      </c>
      <c r="H9" s="200">
        <f t="shared" si="3"/>
        <v>1531.5378750000002</v>
      </c>
      <c r="I9" s="200">
        <f t="shared" si="3"/>
        <v>1608.1147687500004</v>
      </c>
      <c r="J9" s="200">
        <f t="shared" si="3"/>
        <v>1688.5205071875005</v>
      </c>
      <c r="K9" s="200">
        <f t="shared" si="3"/>
        <v>1772.9465325468755</v>
      </c>
      <c r="L9" s="201">
        <f t="shared" si="3"/>
        <v>1861.5938591742192</v>
      </c>
    </row>
    <row r="10" spans="1:12" ht="15.75" thickBot="1" x14ac:dyDescent="0.3">
      <c r="B10" s="202" t="s">
        <v>68</v>
      </c>
      <c r="C10" s="203">
        <f t="shared" ref="C10:L10" si="4">SUM(C6:C9)</f>
        <v>221320</v>
      </c>
      <c r="D10" s="204">
        <f t="shared" si="4"/>
        <v>232278</v>
      </c>
      <c r="E10" s="204">
        <f t="shared" si="4"/>
        <v>243781.74000000002</v>
      </c>
      <c r="F10" s="204">
        <f t="shared" si="4"/>
        <v>255858.46380000003</v>
      </c>
      <c r="G10" s="204">
        <f t="shared" si="4"/>
        <v>268536.776526</v>
      </c>
      <c r="H10" s="204">
        <f t="shared" si="4"/>
        <v>281846.71267902007</v>
      </c>
      <c r="I10" s="204">
        <f t="shared" si="4"/>
        <v>295819.80758622545</v>
      </c>
      <c r="J10" s="204">
        <f t="shared" si="4"/>
        <v>310489.17242425622</v>
      </c>
      <c r="K10" s="204">
        <f t="shared" si="4"/>
        <v>325889.57299336296</v>
      </c>
      <c r="L10" s="205">
        <f t="shared" si="4"/>
        <v>342057.51242988289</v>
      </c>
    </row>
    <row r="12" spans="1:12" x14ac:dyDescent="0.25">
      <c r="B12" t="s">
        <v>119</v>
      </c>
      <c r="C12" s="38" t="s">
        <v>129</v>
      </c>
    </row>
    <row r="13" spans="1:12" ht="15.75" thickBot="1" x14ac:dyDescent="0.3"/>
    <row r="14" spans="1:12" ht="18" customHeight="1" thickBot="1" x14ac:dyDescent="0.3">
      <c r="B14" s="304" t="s">
        <v>128</v>
      </c>
      <c r="C14" s="305"/>
      <c r="D14" s="305"/>
      <c r="E14" s="305"/>
      <c r="F14" s="305"/>
      <c r="G14" s="305"/>
      <c r="H14" s="305"/>
      <c r="I14" s="305"/>
      <c r="J14" s="305"/>
      <c r="K14" s="305"/>
      <c r="L14" s="306"/>
    </row>
    <row r="15" spans="1:12" ht="15" customHeight="1" thickBot="1" x14ac:dyDescent="0.3">
      <c r="B15" s="206" t="s">
        <v>62</v>
      </c>
      <c r="C15" s="175">
        <v>1</v>
      </c>
      <c r="D15" s="175">
        <v>2</v>
      </c>
      <c r="E15" s="175">
        <v>3</v>
      </c>
      <c r="F15" s="175">
        <v>4</v>
      </c>
      <c r="G15" s="175">
        <v>5</v>
      </c>
      <c r="H15" s="175">
        <v>6</v>
      </c>
      <c r="I15" s="175">
        <v>7</v>
      </c>
      <c r="J15" s="175">
        <v>8</v>
      </c>
      <c r="K15" s="175">
        <v>9</v>
      </c>
      <c r="L15" s="176">
        <v>10</v>
      </c>
    </row>
    <row r="16" spans="1:12" x14ac:dyDescent="0.25">
      <c r="A16" s="37">
        <v>0.03</v>
      </c>
      <c r="B16" s="191" t="s">
        <v>120</v>
      </c>
      <c r="C16" s="207">
        <v>207427.5</v>
      </c>
      <c r="D16" s="208">
        <v>96799.5</v>
      </c>
      <c r="E16" s="208">
        <f t="shared" ref="E16:L16" si="5">D16*1.03</f>
        <v>99703.485000000001</v>
      </c>
      <c r="F16" s="208">
        <f t="shared" si="5"/>
        <v>102694.58955</v>
      </c>
      <c r="G16" s="208">
        <f t="shared" si="5"/>
        <v>105775.42723650001</v>
      </c>
      <c r="H16" s="208">
        <f t="shared" si="5"/>
        <v>108948.69005359501</v>
      </c>
      <c r="I16" s="208">
        <f t="shared" si="5"/>
        <v>112217.15075520286</v>
      </c>
      <c r="J16" s="208">
        <f t="shared" si="5"/>
        <v>115583.66527785895</v>
      </c>
      <c r="K16" s="208">
        <f t="shared" si="5"/>
        <v>119051.17523619471</v>
      </c>
      <c r="L16" s="209">
        <f t="shared" si="5"/>
        <v>122622.71049328055</v>
      </c>
    </row>
    <row r="17" spans="1:14" x14ac:dyDescent="0.25">
      <c r="A17" s="37">
        <v>0.03</v>
      </c>
      <c r="B17" s="210" t="s">
        <v>125</v>
      </c>
      <c r="C17" s="211">
        <v>48000</v>
      </c>
      <c r="D17" s="197">
        <v>24000</v>
      </c>
      <c r="E17" s="197">
        <f t="shared" ref="E17:L18" si="6">D17*1.03</f>
        <v>24720</v>
      </c>
      <c r="F17" s="197">
        <f t="shared" si="6"/>
        <v>25461.600000000002</v>
      </c>
      <c r="G17" s="197">
        <f t="shared" si="6"/>
        <v>26225.448000000004</v>
      </c>
      <c r="H17" s="197">
        <f t="shared" si="6"/>
        <v>27012.211440000006</v>
      </c>
      <c r="I17" s="197">
        <f t="shared" si="6"/>
        <v>27822.577783200006</v>
      </c>
      <c r="J17" s="197">
        <f t="shared" si="6"/>
        <v>28657.255116696007</v>
      </c>
      <c r="K17" s="197">
        <f t="shared" si="6"/>
        <v>29516.972770196888</v>
      </c>
      <c r="L17" s="212">
        <f t="shared" si="6"/>
        <v>30402.481953302795</v>
      </c>
    </row>
    <row r="18" spans="1:14" x14ac:dyDescent="0.25">
      <c r="A18" s="37">
        <v>0.03</v>
      </c>
      <c r="B18" s="194" t="s">
        <v>126</v>
      </c>
      <c r="C18" s="213">
        <v>4200</v>
      </c>
      <c r="D18" s="197">
        <v>4326</v>
      </c>
      <c r="E18" s="197">
        <f t="shared" si="6"/>
        <v>4455.78</v>
      </c>
      <c r="F18" s="197">
        <f t="shared" si="6"/>
        <v>4589.4533999999994</v>
      </c>
      <c r="G18" s="197">
        <f t="shared" si="6"/>
        <v>4727.1370019999995</v>
      </c>
      <c r="H18" s="197">
        <f t="shared" si="6"/>
        <v>4868.95111206</v>
      </c>
      <c r="I18" s="197">
        <f t="shared" si="6"/>
        <v>5015.0196454218003</v>
      </c>
      <c r="J18" s="197">
        <f t="shared" si="6"/>
        <v>5165.4702347844541</v>
      </c>
      <c r="K18" s="197">
        <f t="shared" si="6"/>
        <v>5320.4343418279877</v>
      </c>
      <c r="L18" s="212">
        <f t="shared" si="6"/>
        <v>5480.0473720828277</v>
      </c>
    </row>
    <row r="19" spans="1:14" x14ac:dyDescent="0.25">
      <c r="A19" s="37"/>
      <c r="B19" s="194" t="s">
        <v>127</v>
      </c>
      <c r="C19" s="213">
        <v>37500</v>
      </c>
      <c r="D19" s="197">
        <f>D36*0.005</f>
        <v>14625</v>
      </c>
      <c r="E19" s="197">
        <f t="shared" ref="E19:L19" si="7">E36*0.005</f>
        <v>22275</v>
      </c>
      <c r="F19" s="197">
        <f t="shared" si="7"/>
        <v>24575</v>
      </c>
      <c r="G19" s="197">
        <f t="shared" si="7"/>
        <v>26125</v>
      </c>
      <c r="H19" s="197">
        <f t="shared" si="7"/>
        <v>27425</v>
      </c>
      <c r="I19" s="197">
        <f t="shared" si="7"/>
        <v>28812.5</v>
      </c>
      <c r="J19" s="197">
        <f t="shared" si="7"/>
        <v>29675</v>
      </c>
      <c r="K19" s="197">
        <f t="shared" si="7"/>
        <v>30125</v>
      </c>
      <c r="L19" s="212">
        <f t="shared" si="7"/>
        <v>30125</v>
      </c>
    </row>
    <row r="20" spans="1:14" ht="15.75" thickBot="1" x14ac:dyDescent="0.3">
      <c r="B20" s="214" t="s">
        <v>68</v>
      </c>
      <c r="C20" s="215">
        <v>297127.5</v>
      </c>
      <c r="D20" s="216">
        <f t="shared" ref="D20" si="8">SUM(D16:D19)</f>
        <v>139750.5</v>
      </c>
      <c r="E20" s="216">
        <f t="shared" ref="E20:L20" si="9">SUM(E16:E19)</f>
        <v>151154.26500000001</v>
      </c>
      <c r="F20" s="216">
        <f t="shared" si="9"/>
        <v>157320.64295000001</v>
      </c>
      <c r="G20" s="216">
        <f t="shared" si="9"/>
        <v>162853.0122385</v>
      </c>
      <c r="H20" s="216">
        <f t="shared" si="9"/>
        <v>168254.852605655</v>
      </c>
      <c r="I20" s="216">
        <f t="shared" si="9"/>
        <v>173867.24818382467</v>
      </c>
      <c r="J20" s="216">
        <f t="shared" si="9"/>
        <v>179081.39062933941</v>
      </c>
      <c r="K20" s="216">
        <f t="shared" si="9"/>
        <v>184013.58234821958</v>
      </c>
      <c r="L20" s="217">
        <f t="shared" si="9"/>
        <v>188630.23981866619</v>
      </c>
    </row>
    <row r="21" spans="1:14" ht="15.75" thickBot="1" x14ac:dyDescent="0.3"/>
    <row r="22" spans="1:14" x14ac:dyDescent="0.25">
      <c r="B22" s="158" t="s">
        <v>62</v>
      </c>
      <c r="C22" s="159">
        <v>1</v>
      </c>
    </row>
    <row r="23" spans="1:14" x14ac:dyDescent="0.25">
      <c r="B23" s="185" t="s">
        <v>120</v>
      </c>
      <c r="C23" s="147">
        <v>207427.5</v>
      </c>
      <c r="E23" s="129">
        <f>C23*-1</f>
        <v>-207427.5</v>
      </c>
      <c r="F23" s="130">
        <f>D16*-1</f>
        <v>-96799.5</v>
      </c>
      <c r="G23" s="130">
        <f t="shared" ref="G23:N26" si="10">E16*-1</f>
        <v>-99703.485000000001</v>
      </c>
      <c r="H23" s="130">
        <f t="shared" si="10"/>
        <v>-102694.58955</v>
      </c>
      <c r="I23" s="130">
        <f t="shared" si="10"/>
        <v>-105775.42723650001</v>
      </c>
      <c r="J23" s="130">
        <f t="shared" si="10"/>
        <v>-108948.69005359501</v>
      </c>
      <c r="K23" s="130">
        <f t="shared" si="10"/>
        <v>-112217.15075520286</v>
      </c>
      <c r="L23" s="130">
        <f t="shared" si="10"/>
        <v>-115583.66527785895</v>
      </c>
      <c r="M23" s="130">
        <f t="shared" si="10"/>
        <v>-119051.17523619471</v>
      </c>
      <c r="N23" s="130">
        <f t="shared" si="10"/>
        <v>-122622.71049328055</v>
      </c>
    </row>
    <row r="24" spans="1:14" x14ac:dyDescent="0.25">
      <c r="B24" s="189" t="s">
        <v>125</v>
      </c>
      <c r="C24" s="147">
        <v>48000</v>
      </c>
      <c r="E24" s="129">
        <f t="shared" ref="E24:E26" si="11">C24*-1</f>
        <v>-48000</v>
      </c>
      <c r="F24" s="130">
        <f t="shared" ref="F24:F26" si="12">D17*-1</f>
        <v>-24000</v>
      </c>
      <c r="G24" s="130">
        <f t="shared" si="10"/>
        <v>-24720</v>
      </c>
      <c r="H24" s="130">
        <f t="shared" si="10"/>
        <v>-25461.600000000002</v>
      </c>
      <c r="I24" s="130">
        <f t="shared" si="10"/>
        <v>-26225.448000000004</v>
      </c>
      <c r="J24" s="130">
        <f t="shared" si="10"/>
        <v>-27012.211440000006</v>
      </c>
      <c r="K24" s="130">
        <f t="shared" si="10"/>
        <v>-27822.577783200006</v>
      </c>
      <c r="L24" s="130">
        <f t="shared" si="10"/>
        <v>-28657.255116696007</v>
      </c>
      <c r="M24" s="130">
        <f t="shared" si="10"/>
        <v>-29516.972770196888</v>
      </c>
      <c r="N24" s="130">
        <f t="shared" si="10"/>
        <v>-30402.481953302795</v>
      </c>
    </row>
    <row r="25" spans="1:14" x14ac:dyDescent="0.25">
      <c r="B25" s="185" t="s">
        <v>126</v>
      </c>
      <c r="C25" s="187">
        <v>4200</v>
      </c>
      <c r="E25" s="129">
        <f t="shared" si="11"/>
        <v>-4200</v>
      </c>
      <c r="F25" s="130">
        <f t="shared" si="12"/>
        <v>-4326</v>
      </c>
      <c r="G25" s="130">
        <f t="shared" si="10"/>
        <v>-4455.78</v>
      </c>
      <c r="H25" s="130">
        <f t="shared" si="10"/>
        <v>-4589.4533999999994</v>
      </c>
      <c r="I25" s="130">
        <f t="shared" si="10"/>
        <v>-4727.1370019999995</v>
      </c>
      <c r="J25" s="130">
        <f t="shared" si="10"/>
        <v>-4868.95111206</v>
      </c>
      <c r="K25" s="130">
        <f t="shared" si="10"/>
        <v>-5015.0196454218003</v>
      </c>
      <c r="L25" s="130">
        <f t="shared" si="10"/>
        <v>-5165.4702347844541</v>
      </c>
      <c r="M25" s="130">
        <f t="shared" si="10"/>
        <v>-5320.4343418279877</v>
      </c>
      <c r="N25" s="130">
        <f t="shared" si="10"/>
        <v>-5480.0473720828277</v>
      </c>
    </row>
    <row r="26" spans="1:14" x14ac:dyDescent="0.25">
      <c r="B26" s="185" t="s">
        <v>127</v>
      </c>
      <c r="C26" s="187">
        <f>C36*0.005*5</f>
        <v>37500</v>
      </c>
      <c r="E26" s="129">
        <f t="shared" si="11"/>
        <v>-37500</v>
      </c>
      <c r="F26" s="130">
        <f t="shared" si="12"/>
        <v>-14625</v>
      </c>
      <c r="G26" s="130">
        <f t="shared" si="10"/>
        <v>-22275</v>
      </c>
      <c r="H26" s="130">
        <f t="shared" si="10"/>
        <v>-24575</v>
      </c>
      <c r="I26" s="130">
        <f t="shared" si="10"/>
        <v>-26125</v>
      </c>
      <c r="J26" s="130">
        <f t="shared" si="10"/>
        <v>-27425</v>
      </c>
      <c r="K26" s="130">
        <f t="shared" si="10"/>
        <v>-28812.5</v>
      </c>
      <c r="L26" s="130">
        <f t="shared" si="10"/>
        <v>-29675</v>
      </c>
      <c r="M26" s="130">
        <f t="shared" si="10"/>
        <v>-30125</v>
      </c>
      <c r="N26" s="130">
        <f t="shared" si="10"/>
        <v>-30125</v>
      </c>
    </row>
    <row r="27" spans="1:14" ht="15.75" thickBot="1" x14ac:dyDescent="0.3">
      <c r="B27" s="188" t="s">
        <v>68</v>
      </c>
      <c r="C27" s="186">
        <f t="shared" ref="C27" si="13">SUM(C23:C26)</f>
        <v>297127.5</v>
      </c>
    </row>
    <row r="31" spans="1:14" x14ac:dyDescent="0.25">
      <c r="B31" s="39" t="s">
        <v>130</v>
      </c>
      <c r="C31">
        <v>1500</v>
      </c>
      <c r="D31" t="s">
        <v>131</v>
      </c>
    </row>
    <row r="32" spans="1:14" x14ac:dyDescent="0.25">
      <c r="B32" s="39" t="s">
        <v>126</v>
      </c>
      <c r="C32">
        <v>350</v>
      </c>
      <c r="D32" t="s">
        <v>131</v>
      </c>
      <c r="E32">
        <v>4200</v>
      </c>
    </row>
    <row r="33" spans="2:12" x14ac:dyDescent="0.25">
      <c r="B33" s="39" t="s">
        <v>132</v>
      </c>
    </row>
    <row r="35" spans="2:12" x14ac:dyDescent="0.25">
      <c r="B35" s="39" t="s">
        <v>133</v>
      </c>
      <c r="C35" s="40">
        <v>5.0000000000000001E-3</v>
      </c>
      <c r="D35" t="s">
        <v>54</v>
      </c>
    </row>
    <row r="36" spans="2:12" x14ac:dyDescent="0.25">
      <c r="C36">
        <v>1500000</v>
      </c>
      <c r="D36">
        <v>2925000</v>
      </c>
      <c r="E36">
        <v>4455000</v>
      </c>
      <c r="F36">
        <v>4915000</v>
      </c>
      <c r="G36">
        <v>5225000</v>
      </c>
      <c r="H36">
        <v>5485000</v>
      </c>
      <c r="I36">
        <v>5762500</v>
      </c>
      <c r="J36">
        <v>5935000</v>
      </c>
      <c r="K36">
        <v>6025000</v>
      </c>
      <c r="L36">
        <v>6025000</v>
      </c>
    </row>
    <row r="40" spans="2:12" x14ac:dyDescent="0.25">
      <c r="C40" s="129"/>
      <c r="D40" s="129"/>
      <c r="E40" s="129"/>
      <c r="F40" s="129"/>
      <c r="G40" s="129"/>
      <c r="H40" s="129"/>
      <c r="I40" s="129"/>
      <c r="J40" s="129"/>
      <c r="K40" s="129"/>
      <c r="L40" s="129"/>
    </row>
    <row r="41" spans="2:12" x14ac:dyDescent="0.25">
      <c r="C41" s="129"/>
      <c r="D41" s="129"/>
      <c r="E41" s="129"/>
      <c r="F41" s="129"/>
      <c r="G41" s="129"/>
      <c r="H41" s="129"/>
      <c r="I41" s="129"/>
      <c r="J41" s="129"/>
      <c r="K41" s="129"/>
      <c r="L41" s="129"/>
    </row>
    <row r="42" spans="2:12" x14ac:dyDescent="0.25">
      <c r="C42" s="129"/>
      <c r="D42" s="129"/>
      <c r="E42" s="129"/>
      <c r="F42" s="129"/>
      <c r="G42" s="129"/>
      <c r="H42" s="129"/>
      <c r="I42" s="129"/>
      <c r="J42" s="129"/>
      <c r="K42" s="129"/>
      <c r="L42" s="129"/>
    </row>
    <row r="43" spans="2:12" x14ac:dyDescent="0.25">
      <c r="C43" s="129"/>
      <c r="D43" s="129"/>
      <c r="E43" s="129"/>
      <c r="F43" s="129"/>
      <c r="G43" s="129"/>
      <c r="H43" s="129"/>
      <c r="I43" s="129"/>
      <c r="J43" s="129"/>
      <c r="K43" s="129"/>
      <c r="L43" s="129"/>
    </row>
  </sheetData>
  <pageMargins left="0.7" right="0.7" top="0.75" bottom="0.75" header="0.3" footer="0.3"/>
  <ignoredErrors>
    <ignoredError sqref="D8:L8" formula="1"/>
    <ignoredError sqref="C10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3"/>
  <sheetViews>
    <sheetView zoomScale="90" zoomScaleNormal="90" workbookViewId="0">
      <selection activeCell="H27" sqref="H27"/>
    </sheetView>
  </sheetViews>
  <sheetFormatPr baseColWidth="10" defaultRowHeight="15" x14ac:dyDescent="0.25"/>
  <cols>
    <col min="1" max="1" width="3.28515625" customWidth="1"/>
    <col min="2" max="2" width="24.5703125" customWidth="1"/>
    <col min="3" max="12" width="13" customWidth="1"/>
  </cols>
  <sheetData>
    <row r="1" spans="1:12" ht="13.5" customHeight="1" x14ac:dyDescent="0.25"/>
    <row r="2" spans="1:12" x14ac:dyDescent="0.25">
      <c r="B2" t="s">
        <v>118</v>
      </c>
    </row>
    <row r="3" spans="1:12" ht="15.75" thickBot="1" x14ac:dyDescent="0.3"/>
    <row r="4" spans="1:12" ht="15.75" customHeight="1" thickBot="1" x14ac:dyDescent="0.3">
      <c r="B4" s="325" t="s">
        <v>124</v>
      </c>
      <c r="C4" s="326"/>
      <c r="D4" s="326"/>
      <c r="E4" s="326"/>
      <c r="F4" s="326"/>
      <c r="G4" s="328"/>
      <c r="H4" s="305"/>
      <c r="I4" s="305"/>
      <c r="J4" s="305"/>
      <c r="K4" s="305"/>
      <c r="L4" s="306"/>
    </row>
    <row r="5" spans="1:12" ht="15.75" thickBot="1" x14ac:dyDescent="0.3">
      <c r="B5" s="190" t="s">
        <v>62</v>
      </c>
      <c r="C5" s="175">
        <v>1</v>
      </c>
      <c r="D5" s="175">
        <v>2</v>
      </c>
      <c r="E5" s="175">
        <v>3</v>
      </c>
      <c r="F5" s="175">
        <v>4</v>
      </c>
      <c r="G5" s="175">
        <v>5</v>
      </c>
    </row>
    <row r="6" spans="1:12" x14ac:dyDescent="0.25">
      <c r="A6" s="37">
        <v>0.03</v>
      </c>
      <c r="B6" s="191" t="s">
        <v>120</v>
      </c>
      <c r="C6" s="192">
        <v>122920</v>
      </c>
      <c r="D6" s="192">
        <f>C6*1.05</f>
        <v>129066</v>
      </c>
      <c r="E6" s="192">
        <f t="shared" ref="E6:F7" si="0">D6*1.05</f>
        <v>135519.30000000002</v>
      </c>
      <c r="F6" s="192">
        <f t="shared" si="0"/>
        <v>142295.26500000001</v>
      </c>
      <c r="G6" s="192">
        <f>F6*1.05</f>
        <v>149410.02825000003</v>
      </c>
    </row>
    <row r="7" spans="1:12" x14ac:dyDescent="0.25">
      <c r="A7" s="37">
        <v>0.03</v>
      </c>
      <c r="B7" s="194" t="s">
        <v>121</v>
      </c>
      <c r="C7" s="195">
        <v>93600</v>
      </c>
      <c r="D7" s="195">
        <f>C7*1.05</f>
        <v>98280</v>
      </c>
      <c r="E7" s="195">
        <f t="shared" si="0"/>
        <v>103194</v>
      </c>
      <c r="F7" s="195">
        <f t="shared" si="0"/>
        <v>108353.70000000001</v>
      </c>
      <c r="G7" s="195">
        <f>F7*1.05</f>
        <v>113771.38500000002</v>
      </c>
    </row>
    <row r="8" spans="1:12" x14ac:dyDescent="0.25">
      <c r="A8" s="37">
        <v>1.4999999999999999E-2</v>
      </c>
      <c r="B8" s="194" t="s">
        <v>122</v>
      </c>
      <c r="C8" s="197">
        <v>3600</v>
      </c>
      <c r="D8" s="195">
        <f>C8*1.02</f>
        <v>3672</v>
      </c>
      <c r="E8" s="195">
        <f t="shared" ref="E8:F8" si="1">D8*1.02</f>
        <v>3745.44</v>
      </c>
      <c r="F8" s="195">
        <f t="shared" si="1"/>
        <v>3820.3488000000002</v>
      </c>
      <c r="G8" s="195">
        <f>F8*1.02</f>
        <v>3896.7557760000004</v>
      </c>
    </row>
    <row r="9" spans="1:12" ht="16.5" customHeight="1" thickBot="1" x14ac:dyDescent="0.3">
      <c r="A9" s="37">
        <v>0.03</v>
      </c>
      <c r="B9" s="198" t="s">
        <v>123</v>
      </c>
      <c r="C9" s="199">
        <v>1200</v>
      </c>
      <c r="D9" s="200">
        <f t="shared" ref="D9:F9" si="2">C9*1.05</f>
        <v>1260</v>
      </c>
      <c r="E9" s="200">
        <f t="shared" si="2"/>
        <v>1323</v>
      </c>
      <c r="F9" s="200">
        <f t="shared" si="2"/>
        <v>1389.15</v>
      </c>
      <c r="G9" s="200">
        <f>F9*1.05</f>
        <v>1458.6075000000001</v>
      </c>
    </row>
    <row r="10" spans="1:12" ht="15.75" thickBot="1" x14ac:dyDescent="0.3">
      <c r="B10" s="202" t="s">
        <v>68</v>
      </c>
      <c r="C10" s="203">
        <f t="shared" ref="C10:F10" si="3">SUM(C6:C9)</f>
        <v>221320</v>
      </c>
      <c r="D10" s="204">
        <f t="shared" si="3"/>
        <v>232278</v>
      </c>
      <c r="E10" s="204">
        <f t="shared" si="3"/>
        <v>243781.74000000002</v>
      </c>
      <c r="F10" s="204">
        <f t="shared" si="3"/>
        <v>255858.46380000003</v>
      </c>
      <c r="G10" s="204">
        <f>SUM(G6:G9)</f>
        <v>268536.776526</v>
      </c>
    </row>
    <row r="11" spans="1:12" ht="15.75" thickBot="1" x14ac:dyDescent="0.3">
      <c r="B11" s="307"/>
      <c r="C11" s="308"/>
      <c r="D11" s="309"/>
      <c r="E11" s="309"/>
      <c r="F11" s="309"/>
      <c r="G11" s="309"/>
      <c r="H11" s="309"/>
      <c r="I11" s="309"/>
      <c r="J11" s="309"/>
      <c r="K11" s="309"/>
      <c r="L11" s="309"/>
    </row>
    <row r="12" spans="1:12" ht="15.75" thickBot="1" x14ac:dyDescent="0.3">
      <c r="B12" s="190" t="s">
        <v>62</v>
      </c>
      <c r="C12" s="175">
        <v>6</v>
      </c>
      <c r="D12" s="175">
        <v>7</v>
      </c>
      <c r="E12" s="175">
        <v>8</v>
      </c>
      <c r="F12" s="175">
        <v>9</v>
      </c>
      <c r="G12" s="176">
        <v>10</v>
      </c>
      <c r="H12" s="309"/>
      <c r="I12" s="309"/>
      <c r="J12" s="309"/>
      <c r="K12" s="309"/>
      <c r="L12" s="309"/>
    </row>
    <row r="13" spans="1:12" x14ac:dyDescent="0.25">
      <c r="B13" s="191" t="s">
        <v>120</v>
      </c>
      <c r="C13" s="192">
        <f>G6*1.05</f>
        <v>156880.52966250005</v>
      </c>
      <c r="D13" s="192">
        <f t="shared" ref="D13:G14" si="4">C13*1.05</f>
        <v>164724.55614562504</v>
      </c>
      <c r="E13" s="192">
        <f t="shared" si="4"/>
        <v>172960.78395290629</v>
      </c>
      <c r="F13" s="192">
        <f t="shared" si="4"/>
        <v>181608.82315055162</v>
      </c>
      <c r="G13" s="193">
        <f t="shared" si="4"/>
        <v>190689.2643080792</v>
      </c>
      <c r="H13" s="309"/>
      <c r="I13" s="309"/>
      <c r="J13" s="309"/>
      <c r="K13" s="309"/>
      <c r="L13" s="309"/>
    </row>
    <row r="14" spans="1:12" x14ac:dyDescent="0.25">
      <c r="B14" s="194" t="s">
        <v>121</v>
      </c>
      <c r="C14" s="195">
        <f>G7*1.05</f>
        <v>119459.95425000002</v>
      </c>
      <c r="D14" s="195">
        <f t="shared" si="4"/>
        <v>125432.95196250002</v>
      </c>
      <c r="E14" s="195">
        <f t="shared" si="4"/>
        <v>131704.59956062504</v>
      </c>
      <c r="F14" s="195">
        <f t="shared" si="4"/>
        <v>138289.82953865628</v>
      </c>
      <c r="G14" s="196">
        <f t="shared" si="4"/>
        <v>145204.32101558911</v>
      </c>
      <c r="H14" s="309"/>
      <c r="I14" s="309"/>
      <c r="J14" s="309"/>
      <c r="K14" s="309"/>
      <c r="L14" s="309"/>
    </row>
    <row r="15" spans="1:12" x14ac:dyDescent="0.25">
      <c r="B15" s="194" t="s">
        <v>122</v>
      </c>
      <c r="C15" s="195">
        <f>G8*1.02</f>
        <v>3974.6908915200006</v>
      </c>
      <c r="D15" s="195">
        <f>C15*1.02</f>
        <v>4054.1847093504007</v>
      </c>
      <c r="E15" s="195">
        <f>D15*1.02</f>
        <v>4135.2684035374086</v>
      </c>
      <c r="F15" s="195">
        <f>E15*1.02</f>
        <v>4217.9737716081572</v>
      </c>
      <c r="G15" s="196">
        <f>F15*1.02</f>
        <v>4302.3332470403202</v>
      </c>
      <c r="H15" s="309"/>
      <c r="I15" s="309"/>
      <c r="J15" s="309"/>
      <c r="K15" s="309"/>
      <c r="L15" s="309"/>
    </row>
    <row r="16" spans="1:12" ht="15.75" thickBot="1" x14ac:dyDescent="0.3">
      <c r="B16" s="198" t="s">
        <v>123</v>
      </c>
      <c r="C16" s="200">
        <f>G9*1.05</f>
        <v>1531.5378750000002</v>
      </c>
      <c r="D16" s="200">
        <f>C16*1.05</f>
        <v>1608.1147687500004</v>
      </c>
      <c r="E16" s="200">
        <f>D16*1.05</f>
        <v>1688.5205071875005</v>
      </c>
      <c r="F16" s="200">
        <f>E16*1.05</f>
        <v>1772.9465325468755</v>
      </c>
      <c r="G16" s="201">
        <f>F16*1.05</f>
        <v>1861.5938591742192</v>
      </c>
      <c r="H16" s="309"/>
      <c r="I16" s="309"/>
      <c r="J16" s="309"/>
      <c r="K16" s="309"/>
      <c r="L16" s="309"/>
    </row>
    <row r="17" spans="1:12" ht="15.75" thickBot="1" x14ac:dyDescent="0.3">
      <c r="B17" s="202" t="s">
        <v>68</v>
      </c>
      <c r="C17" s="204">
        <f>SUM(C13:C16)</f>
        <v>281846.71267902007</v>
      </c>
      <c r="D17" s="204">
        <f>SUM(D13:D16)</f>
        <v>295819.80758622545</v>
      </c>
      <c r="E17" s="204">
        <f>SUM(E13:E16)</f>
        <v>310489.17242425622</v>
      </c>
      <c r="F17" s="204">
        <f>SUM(F13:F16)</f>
        <v>325889.57299336296</v>
      </c>
      <c r="G17" s="205">
        <f>SUM(G13:G16)</f>
        <v>342057.51242988289</v>
      </c>
      <c r="H17" s="309"/>
      <c r="I17" s="309"/>
      <c r="J17" s="309"/>
      <c r="K17" s="309"/>
      <c r="L17" s="309"/>
    </row>
    <row r="18" spans="1:12" x14ac:dyDescent="0.25">
      <c r="B18" s="307"/>
      <c r="C18" s="308"/>
      <c r="D18" s="309"/>
      <c r="E18" s="309"/>
      <c r="F18" s="309"/>
      <c r="G18" s="309"/>
      <c r="H18" s="309"/>
      <c r="I18" s="309"/>
      <c r="J18" s="309"/>
      <c r="K18" s="309"/>
      <c r="L18" s="309"/>
    </row>
    <row r="19" spans="1:12" x14ac:dyDescent="0.25">
      <c r="B19" s="307"/>
      <c r="C19" s="308"/>
      <c r="D19" s="309"/>
      <c r="E19" s="309"/>
      <c r="F19" s="309"/>
      <c r="G19" s="309"/>
      <c r="H19" s="309"/>
      <c r="I19" s="309"/>
      <c r="J19" s="309"/>
      <c r="K19" s="309"/>
      <c r="L19" s="309"/>
    </row>
    <row r="20" spans="1:12" x14ac:dyDescent="0.25">
      <c r="B20" s="307"/>
      <c r="C20" s="308"/>
      <c r="D20" s="309"/>
      <c r="E20" s="309"/>
      <c r="F20" s="309"/>
      <c r="G20" s="309"/>
      <c r="H20" s="309"/>
      <c r="I20" s="309"/>
      <c r="J20" s="309"/>
      <c r="K20" s="309"/>
      <c r="L20" s="309"/>
    </row>
    <row r="22" spans="1:12" x14ac:dyDescent="0.25">
      <c r="B22" t="s">
        <v>119</v>
      </c>
      <c r="C22" s="38" t="s">
        <v>129</v>
      </c>
    </row>
    <row r="23" spans="1:12" ht="15.75" thickBot="1" x14ac:dyDescent="0.3"/>
    <row r="24" spans="1:12" ht="18" customHeight="1" thickBot="1" x14ac:dyDescent="0.3">
      <c r="B24" s="325" t="s">
        <v>128</v>
      </c>
      <c r="C24" s="326"/>
      <c r="D24" s="326"/>
      <c r="E24" s="326"/>
      <c r="F24" s="326"/>
      <c r="G24" s="328"/>
      <c r="H24" s="305"/>
      <c r="I24" s="305"/>
      <c r="J24" s="305"/>
      <c r="K24" s="305"/>
      <c r="L24" s="306"/>
    </row>
    <row r="25" spans="1:12" ht="15" customHeight="1" thickBot="1" x14ac:dyDescent="0.3">
      <c r="B25" s="206" t="s">
        <v>62</v>
      </c>
      <c r="C25" s="175">
        <v>1</v>
      </c>
      <c r="D25" s="175">
        <v>2</v>
      </c>
      <c r="E25" s="175">
        <v>3</v>
      </c>
      <c r="F25" s="175">
        <v>4</v>
      </c>
      <c r="G25" s="175">
        <v>5</v>
      </c>
    </row>
    <row r="26" spans="1:12" x14ac:dyDescent="0.25">
      <c r="A26" s="37">
        <v>0.03</v>
      </c>
      <c r="B26" s="191" t="s">
        <v>120</v>
      </c>
      <c r="C26" s="207">
        <v>207427.5</v>
      </c>
      <c r="D26" s="208">
        <v>96799.5</v>
      </c>
      <c r="E26" s="208">
        <f t="shared" ref="E26:G28" si="5">D26*1.03</f>
        <v>99703.485000000001</v>
      </c>
      <c r="F26" s="208">
        <f t="shared" si="5"/>
        <v>102694.58955</v>
      </c>
      <c r="G26" s="208">
        <f t="shared" si="5"/>
        <v>105775.42723650001</v>
      </c>
    </row>
    <row r="27" spans="1:12" x14ac:dyDescent="0.25">
      <c r="A27" s="37">
        <v>0.03</v>
      </c>
      <c r="B27" s="210" t="s">
        <v>125</v>
      </c>
      <c r="C27" s="211">
        <v>48000</v>
      </c>
      <c r="D27" s="197">
        <v>24000</v>
      </c>
      <c r="E27" s="197">
        <f t="shared" si="5"/>
        <v>24720</v>
      </c>
      <c r="F27" s="197">
        <f t="shared" si="5"/>
        <v>25461.600000000002</v>
      </c>
      <c r="G27" s="197">
        <f t="shared" si="5"/>
        <v>26225.448000000004</v>
      </c>
    </row>
    <row r="28" spans="1:12" x14ac:dyDescent="0.25">
      <c r="A28" s="37">
        <v>0.03</v>
      </c>
      <c r="B28" s="194" t="s">
        <v>126</v>
      </c>
      <c r="C28" s="213">
        <v>4200</v>
      </c>
      <c r="D28" s="197">
        <v>4326</v>
      </c>
      <c r="E28" s="197">
        <f t="shared" si="5"/>
        <v>4455.78</v>
      </c>
      <c r="F28" s="197">
        <f t="shared" si="5"/>
        <v>4589.4533999999994</v>
      </c>
      <c r="G28" s="197">
        <f t="shared" si="5"/>
        <v>4727.1370019999995</v>
      </c>
    </row>
    <row r="29" spans="1:12" x14ac:dyDescent="0.25">
      <c r="A29" s="37"/>
      <c r="B29" s="194" t="s">
        <v>127</v>
      </c>
      <c r="C29" s="213">
        <v>37500</v>
      </c>
      <c r="D29" s="197">
        <f>D56*0.005</f>
        <v>14625</v>
      </c>
      <c r="E29" s="197">
        <f t="shared" ref="E29:G29" si="6">E56*0.005</f>
        <v>22275</v>
      </c>
      <c r="F29" s="197">
        <f t="shared" si="6"/>
        <v>24575</v>
      </c>
      <c r="G29" s="197">
        <f t="shared" si="6"/>
        <v>26125</v>
      </c>
    </row>
    <row r="30" spans="1:12" ht="15.75" thickBot="1" x14ac:dyDescent="0.3">
      <c r="B30" s="214" t="s">
        <v>68</v>
      </c>
      <c r="C30" s="215">
        <v>297127.5</v>
      </c>
      <c r="D30" s="216">
        <f t="shared" ref="D30:G30" si="7">SUM(D26:D29)</f>
        <v>139750.5</v>
      </c>
      <c r="E30" s="216">
        <f t="shared" si="7"/>
        <v>151154.26500000001</v>
      </c>
      <c r="F30" s="216">
        <f t="shared" si="7"/>
        <v>157320.64295000001</v>
      </c>
      <c r="G30" s="216">
        <f t="shared" si="7"/>
        <v>162853.0122385</v>
      </c>
    </row>
    <row r="31" spans="1:12" ht="15.75" thickBot="1" x14ac:dyDescent="0.3"/>
    <row r="32" spans="1:12" ht="15.75" thickBot="1" x14ac:dyDescent="0.3">
      <c r="B32" s="190" t="s">
        <v>62</v>
      </c>
      <c r="C32" s="175">
        <v>6</v>
      </c>
      <c r="D32" s="175">
        <v>7</v>
      </c>
      <c r="E32" s="175">
        <v>8</v>
      </c>
      <c r="F32" s="175">
        <v>9</v>
      </c>
      <c r="G32" s="176">
        <v>10</v>
      </c>
    </row>
    <row r="33" spans="2:14" x14ac:dyDescent="0.25">
      <c r="B33" s="191" t="s">
        <v>120</v>
      </c>
      <c r="C33" s="208">
        <f>G26*1.03</f>
        <v>108948.69005359501</v>
      </c>
      <c r="D33" s="208">
        <f t="shared" ref="D33:G35" si="8">C33*1.03</f>
        <v>112217.15075520286</v>
      </c>
      <c r="E33" s="208">
        <f t="shared" si="8"/>
        <v>115583.66527785895</v>
      </c>
      <c r="F33" s="208">
        <f t="shared" si="8"/>
        <v>119051.17523619471</v>
      </c>
      <c r="G33" s="209">
        <f t="shared" si="8"/>
        <v>122622.71049328055</v>
      </c>
    </row>
    <row r="34" spans="2:14" x14ac:dyDescent="0.25">
      <c r="B34" s="194" t="s">
        <v>121</v>
      </c>
      <c r="C34" s="197">
        <f>G27*1.03</f>
        <v>27012.211440000006</v>
      </c>
      <c r="D34" s="197">
        <f t="shared" si="8"/>
        <v>27822.577783200006</v>
      </c>
      <c r="E34" s="197">
        <f t="shared" si="8"/>
        <v>28657.255116696007</v>
      </c>
      <c r="F34" s="197">
        <f t="shared" si="8"/>
        <v>29516.972770196888</v>
      </c>
      <c r="G34" s="212">
        <f t="shared" si="8"/>
        <v>30402.481953302795</v>
      </c>
    </row>
    <row r="35" spans="2:14" x14ac:dyDescent="0.25">
      <c r="B35" s="194" t="s">
        <v>122</v>
      </c>
      <c r="C35" s="197">
        <f>G28*1.03</f>
        <v>4868.95111206</v>
      </c>
      <c r="D35" s="197">
        <f t="shared" si="8"/>
        <v>5015.0196454218003</v>
      </c>
      <c r="E35" s="197">
        <f t="shared" si="8"/>
        <v>5165.4702347844541</v>
      </c>
      <c r="F35" s="197">
        <f t="shared" si="8"/>
        <v>5320.4343418279877</v>
      </c>
      <c r="G35" s="212">
        <f t="shared" si="8"/>
        <v>5480.0473720828277</v>
      </c>
    </row>
    <row r="36" spans="2:14" ht="15.75" thickBot="1" x14ac:dyDescent="0.3">
      <c r="B36" s="198" t="s">
        <v>123</v>
      </c>
      <c r="C36" s="197">
        <f>H56*0.005</f>
        <v>27425</v>
      </c>
      <c r="D36" s="197">
        <f>I56*0.005</f>
        <v>28812.5</v>
      </c>
      <c r="E36" s="197">
        <f>J56*0.005</f>
        <v>29675</v>
      </c>
      <c r="F36" s="197">
        <f>K56*0.005</f>
        <v>30125</v>
      </c>
      <c r="G36" s="212">
        <f>L56*0.005</f>
        <v>30125</v>
      </c>
    </row>
    <row r="37" spans="2:14" ht="15.75" thickBot="1" x14ac:dyDescent="0.3">
      <c r="B37" s="202" t="s">
        <v>68</v>
      </c>
      <c r="C37" s="216">
        <f>SUM(C33:C36)</f>
        <v>168254.852605655</v>
      </c>
      <c r="D37" s="216">
        <f>SUM(D33:D36)</f>
        <v>173867.24818382467</v>
      </c>
      <c r="E37" s="216">
        <f>SUM(E33:E36)</f>
        <v>179081.39062933941</v>
      </c>
      <c r="F37" s="216">
        <f>SUM(F33:F36)</f>
        <v>184013.58234821958</v>
      </c>
      <c r="G37" s="217">
        <f>SUM(G33:G36)</f>
        <v>188630.23981866619</v>
      </c>
    </row>
    <row r="41" spans="2:14" ht="15.75" thickBot="1" x14ac:dyDescent="0.3"/>
    <row r="42" spans="2:14" x14ac:dyDescent="0.25">
      <c r="B42" s="158" t="s">
        <v>62</v>
      </c>
      <c r="C42" s="159">
        <v>1</v>
      </c>
    </row>
    <row r="43" spans="2:14" x14ac:dyDescent="0.25">
      <c r="B43" s="185" t="s">
        <v>120</v>
      </c>
      <c r="C43" s="147">
        <v>207427.5</v>
      </c>
      <c r="E43" s="129">
        <f>C43*-1</f>
        <v>-207427.5</v>
      </c>
      <c r="F43" s="130">
        <f t="shared" ref="F43:I46" si="9">D26*-1</f>
        <v>-96799.5</v>
      </c>
      <c r="G43" s="130">
        <f t="shared" si="9"/>
        <v>-99703.485000000001</v>
      </c>
      <c r="H43" s="130">
        <f t="shared" si="9"/>
        <v>-102694.58955</v>
      </c>
      <c r="I43" s="130">
        <f t="shared" si="9"/>
        <v>-105775.42723650001</v>
      </c>
      <c r="J43" s="130">
        <f t="shared" ref="J43:N46" si="10">C33*-1</f>
        <v>-108948.69005359501</v>
      </c>
      <c r="K43" s="130">
        <f t="shared" si="10"/>
        <v>-112217.15075520286</v>
      </c>
      <c r="L43" s="130">
        <f t="shared" si="10"/>
        <v>-115583.66527785895</v>
      </c>
      <c r="M43" s="130">
        <f t="shared" si="10"/>
        <v>-119051.17523619471</v>
      </c>
      <c r="N43" s="130">
        <f t="shared" si="10"/>
        <v>-122622.71049328055</v>
      </c>
    </row>
    <row r="44" spans="2:14" x14ac:dyDescent="0.25">
      <c r="B44" s="189" t="s">
        <v>125</v>
      </c>
      <c r="C44" s="147">
        <v>48000</v>
      </c>
      <c r="E44" s="129">
        <f t="shared" ref="E44:E46" si="11">C44*-1</f>
        <v>-48000</v>
      </c>
      <c r="F44" s="130">
        <f t="shared" si="9"/>
        <v>-24000</v>
      </c>
      <c r="G44" s="130">
        <f t="shared" si="9"/>
        <v>-24720</v>
      </c>
      <c r="H44" s="130">
        <f t="shared" si="9"/>
        <v>-25461.600000000002</v>
      </c>
      <c r="I44" s="130">
        <f t="shared" si="9"/>
        <v>-26225.448000000004</v>
      </c>
      <c r="J44" s="130">
        <f t="shared" si="10"/>
        <v>-27012.211440000006</v>
      </c>
      <c r="K44" s="130">
        <f t="shared" si="10"/>
        <v>-27822.577783200006</v>
      </c>
      <c r="L44" s="130">
        <f t="shared" si="10"/>
        <v>-28657.255116696007</v>
      </c>
      <c r="M44" s="130">
        <f t="shared" si="10"/>
        <v>-29516.972770196888</v>
      </c>
      <c r="N44" s="130">
        <f t="shared" si="10"/>
        <v>-30402.481953302795</v>
      </c>
    </row>
    <row r="45" spans="2:14" x14ac:dyDescent="0.25">
      <c r="B45" s="185" t="s">
        <v>126</v>
      </c>
      <c r="C45" s="187">
        <v>4200</v>
      </c>
      <c r="E45" s="129">
        <f t="shared" si="11"/>
        <v>-4200</v>
      </c>
      <c r="F45" s="130">
        <f t="shared" si="9"/>
        <v>-4326</v>
      </c>
      <c r="G45" s="130">
        <f t="shared" si="9"/>
        <v>-4455.78</v>
      </c>
      <c r="H45" s="130">
        <f t="shared" si="9"/>
        <v>-4589.4533999999994</v>
      </c>
      <c r="I45" s="130">
        <f t="shared" si="9"/>
        <v>-4727.1370019999995</v>
      </c>
      <c r="J45" s="130">
        <f t="shared" si="10"/>
        <v>-4868.95111206</v>
      </c>
      <c r="K45" s="130">
        <f t="shared" si="10"/>
        <v>-5015.0196454218003</v>
      </c>
      <c r="L45" s="130">
        <f t="shared" si="10"/>
        <v>-5165.4702347844541</v>
      </c>
      <c r="M45" s="130">
        <f t="shared" si="10"/>
        <v>-5320.4343418279877</v>
      </c>
      <c r="N45" s="130">
        <f t="shared" si="10"/>
        <v>-5480.0473720828277</v>
      </c>
    </row>
    <row r="46" spans="2:14" x14ac:dyDescent="0.25">
      <c r="B46" s="185" t="s">
        <v>127</v>
      </c>
      <c r="C46" s="187">
        <f>C56*0.005*5</f>
        <v>37500</v>
      </c>
      <c r="E46" s="129">
        <f t="shared" si="11"/>
        <v>-37500</v>
      </c>
      <c r="F46" s="130">
        <f t="shared" si="9"/>
        <v>-14625</v>
      </c>
      <c r="G46" s="130">
        <f t="shared" si="9"/>
        <v>-22275</v>
      </c>
      <c r="H46" s="130">
        <f t="shared" si="9"/>
        <v>-24575</v>
      </c>
      <c r="I46" s="130">
        <f t="shared" si="9"/>
        <v>-26125</v>
      </c>
      <c r="J46" s="130">
        <f t="shared" si="10"/>
        <v>-27425</v>
      </c>
      <c r="K46" s="130">
        <f t="shared" si="10"/>
        <v>-28812.5</v>
      </c>
      <c r="L46" s="130">
        <f t="shared" si="10"/>
        <v>-29675</v>
      </c>
      <c r="M46" s="130">
        <f t="shared" si="10"/>
        <v>-30125</v>
      </c>
      <c r="N46" s="130">
        <f t="shared" si="10"/>
        <v>-30125</v>
      </c>
    </row>
    <row r="47" spans="2:14" ht="15.75" thickBot="1" x14ac:dyDescent="0.3">
      <c r="B47" s="188" t="s">
        <v>68</v>
      </c>
      <c r="C47" s="186">
        <f t="shared" ref="C47" si="12">SUM(C43:C46)</f>
        <v>297127.5</v>
      </c>
    </row>
    <row r="51" spans="2:12" x14ac:dyDescent="0.25">
      <c r="B51" s="39" t="s">
        <v>130</v>
      </c>
      <c r="C51">
        <v>1500</v>
      </c>
      <c r="D51" t="s">
        <v>131</v>
      </c>
    </row>
    <row r="52" spans="2:12" x14ac:dyDescent="0.25">
      <c r="B52" s="39" t="s">
        <v>126</v>
      </c>
      <c r="C52">
        <v>350</v>
      </c>
      <c r="D52" t="s">
        <v>131</v>
      </c>
      <c r="E52">
        <v>4200</v>
      </c>
    </row>
    <row r="53" spans="2:12" x14ac:dyDescent="0.25">
      <c r="B53" s="39" t="s">
        <v>132</v>
      </c>
    </row>
    <row r="55" spans="2:12" x14ac:dyDescent="0.25">
      <c r="B55" s="39" t="s">
        <v>133</v>
      </c>
      <c r="C55" s="40">
        <v>5.0000000000000001E-3</v>
      </c>
      <c r="D55" t="s">
        <v>54</v>
      </c>
    </row>
    <row r="56" spans="2:12" x14ac:dyDescent="0.25">
      <c r="C56">
        <v>1500000</v>
      </c>
      <c r="D56">
        <v>2925000</v>
      </c>
      <c r="E56">
        <v>4455000</v>
      </c>
      <c r="F56">
        <v>4915000</v>
      </c>
      <c r="G56">
        <v>5225000</v>
      </c>
      <c r="H56">
        <v>5485000</v>
      </c>
      <c r="I56">
        <v>5762500</v>
      </c>
      <c r="J56">
        <v>5935000</v>
      </c>
      <c r="K56">
        <v>6025000</v>
      </c>
      <c r="L56">
        <v>6025000</v>
      </c>
    </row>
    <row r="60" spans="2:12" x14ac:dyDescent="0.25">
      <c r="C60" s="129"/>
      <c r="D60" s="129"/>
      <c r="E60" s="129"/>
      <c r="F60" s="129"/>
      <c r="G60" s="129"/>
      <c r="H60" s="129"/>
      <c r="I60" s="129"/>
      <c r="J60" s="129"/>
      <c r="K60" s="129"/>
      <c r="L60" s="129"/>
    </row>
    <row r="61" spans="2:12" x14ac:dyDescent="0.25">
      <c r="C61" s="129"/>
      <c r="D61" s="129"/>
      <c r="E61" s="129"/>
      <c r="F61" s="129"/>
      <c r="G61" s="129"/>
      <c r="H61" s="129"/>
      <c r="I61" s="129"/>
      <c r="J61" s="129"/>
      <c r="K61" s="129"/>
      <c r="L61" s="129"/>
    </row>
    <row r="62" spans="2:12" x14ac:dyDescent="0.25">
      <c r="C62" s="129"/>
      <c r="D62" s="129"/>
      <c r="E62" s="129"/>
      <c r="F62" s="129"/>
      <c r="G62" s="129"/>
      <c r="H62" s="129"/>
      <c r="I62" s="129"/>
      <c r="J62" s="129"/>
      <c r="K62" s="129"/>
      <c r="L62" s="129"/>
    </row>
    <row r="63" spans="2:12" x14ac:dyDescent="0.25">
      <c r="C63" s="129"/>
      <c r="D63" s="129"/>
      <c r="E63" s="129"/>
      <c r="F63" s="129"/>
      <c r="G63" s="129"/>
      <c r="H63" s="129"/>
      <c r="I63" s="129"/>
      <c r="J63" s="129"/>
      <c r="K63" s="129"/>
      <c r="L63" s="129"/>
    </row>
  </sheetData>
  <mergeCells count="2">
    <mergeCell ref="B4:G4"/>
    <mergeCell ref="B24:G24"/>
  </mergeCells>
  <pageMargins left="0.7" right="0.7" top="0.75" bottom="0.75" header="0.3" footer="0.3"/>
  <ignoredErrors>
    <ignoredError sqref="C10" formulaRange="1"/>
    <ignoredError sqref="D8:G8 C15:G1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(COTIZACION)</vt:lpstr>
      <vt:lpstr>INVERSIONES</vt:lpstr>
      <vt:lpstr>C. SUELDOS</vt:lpstr>
      <vt:lpstr>ventas</vt:lpstr>
      <vt:lpstr>ventas + %</vt:lpstr>
      <vt:lpstr>costo paneles</vt:lpstr>
      <vt:lpstr>costo ventas</vt:lpstr>
      <vt:lpstr>G VENTAS Y ADM</vt:lpstr>
      <vt:lpstr>G VENTAS Y ADM (2)</vt:lpstr>
      <vt:lpstr>FLUJO DE CAJA 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velasque</dc:creator>
  <cp:lastModifiedBy>Juliana Cayllahua Galindo</cp:lastModifiedBy>
  <dcterms:created xsi:type="dcterms:W3CDTF">2016-08-28T03:38:00Z</dcterms:created>
  <dcterms:modified xsi:type="dcterms:W3CDTF">2017-05-24T14:35:39Z</dcterms:modified>
</cp:coreProperties>
</file>